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m1029\Documents\1 Clients\CO\+Codes, Programs, Rebates\EEBC\"/>
    </mc:Choice>
  </mc:AlternateContent>
  <xr:revisionPtr revIDLastSave="0" documentId="13_ncr:1_{1DE3EF91-F9B3-4772-AEB7-BA82E88EA43F}" xr6:coauthVersionLast="47" xr6:coauthVersionMax="47" xr10:uidLastSave="{00000000-0000-0000-0000-000000000000}"/>
  <bookViews>
    <workbookView xWindow="-28920" yWindow="-120" windowWidth="28110" windowHeight="16440" xr2:uid="{3895B086-DDB3-4008-AC98-E9A37C2E8F29}"/>
  </bookViews>
  <sheets>
    <sheet name="Sheet1" sheetId="1" r:id="rId1"/>
    <sheet name="Sheet1 (2)" sheetId="3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2" l="1"/>
  <c r="E4" i="2"/>
  <c r="G4" i="2"/>
  <c r="C5" i="2"/>
  <c r="C24" i="2" s="1"/>
  <c r="E5" i="2"/>
  <c r="G5" i="2"/>
  <c r="C6" i="2"/>
  <c r="E6" i="2"/>
  <c r="G6" i="2"/>
  <c r="C7" i="2"/>
  <c r="E7" i="2"/>
  <c r="G7" i="2"/>
  <c r="C8" i="2"/>
  <c r="E8" i="2"/>
  <c r="G8" i="2"/>
  <c r="C9" i="2"/>
  <c r="E9" i="2"/>
  <c r="G9" i="2"/>
  <c r="C10" i="2"/>
  <c r="E10" i="2"/>
  <c r="G10" i="2"/>
  <c r="C11" i="2"/>
  <c r="E11" i="2"/>
  <c r="G11" i="2"/>
  <c r="C12" i="2"/>
  <c r="E12" i="2"/>
  <c r="G12" i="2"/>
  <c r="C13" i="2"/>
  <c r="E13" i="2"/>
  <c r="G13" i="2"/>
  <c r="R1" i="3"/>
  <c r="R3" i="3" s="1"/>
  <c r="M1" i="1"/>
  <c r="M3" i="1" s="1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5" i="3"/>
  <c r="N3" i="3"/>
  <c r="Q3" i="3" s="1"/>
  <c r="G13" i="3"/>
  <c r="G15" i="3" s="1"/>
  <c r="F13" i="3"/>
  <c r="F15" i="3" s="1"/>
  <c r="E13" i="3"/>
  <c r="E15" i="3" s="1"/>
  <c r="D13" i="3"/>
  <c r="D15" i="3" s="1"/>
  <c r="C13" i="3"/>
  <c r="C15" i="3" s="1"/>
  <c r="B13" i="3"/>
  <c r="H12" i="3"/>
  <c r="H11" i="3"/>
  <c r="H10" i="3"/>
  <c r="H9" i="3"/>
  <c r="H8" i="3"/>
  <c r="H7" i="3"/>
  <c r="H6" i="3"/>
  <c r="H5" i="3"/>
  <c r="H4" i="3"/>
  <c r="H3" i="3"/>
  <c r="L21" i="1"/>
  <c r="L22" i="1" s="1"/>
  <c r="L23" i="1" s="1"/>
  <c r="L24" i="1" s="1"/>
  <c r="L25" i="1" s="1"/>
  <c r="L26" i="1" s="1"/>
  <c r="L27" i="1" s="1"/>
  <c r="L28" i="1" s="1"/>
  <c r="L29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K15" i="1"/>
  <c r="O3" i="1"/>
  <c r="P3" i="1" s="1"/>
  <c r="F27" i="2"/>
  <c r="F28" i="2"/>
  <c r="G23" i="2"/>
  <c r="G22" i="2"/>
  <c r="G21" i="2"/>
  <c r="G20" i="2"/>
  <c r="G19" i="2"/>
  <c r="G18" i="2"/>
  <c r="G17" i="2"/>
  <c r="G16" i="2"/>
  <c r="G15" i="2"/>
  <c r="G14" i="2"/>
  <c r="G24" i="2"/>
  <c r="E23" i="2"/>
  <c r="C23" i="2"/>
  <c r="E22" i="2"/>
  <c r="E21" i="2"/>
  <c r="E20" i="2"/>
  <c r="E19" i="2"/>
  <c r="E18" i="2"/>
  <c r="E17" i="2"/>
  <c r="E16" i="2"/>
  <c r="E15" i="2"/>
  <c r="E14" i="2"/>
  <c r="C14" i="2"/>
  <c r="C15" i="2"/>
  <c r="C16" i="2"/>
  <c r="C17" i="2"/>
  <c r="C18" i="2"/>
  <c r="C19" i="2"/>
  <c r="C20" i="2"/>
  <c r="C21" i="2"/>
  <c r="C22" i="2"/>
  <c r="E24" i="2" l="1"/>
  <c r="T1" i="3"/>
  <c r="T4" i="3" s="1"/>
  <c r="R4" i="3" s="1"/>
  <c r="S3" i="3"/>
  <c r="I8" i="3"/>
  <c r="I9" i="3"/>
  <c r="I10" i="3"/>
  <c r="I4" i="3"/>
  <c r="P3" i="3"/>
  <c r="I11" i="3"/>
  <c r="I13" i="3"/>
  <c r="I6" i="3"/>
  <c r="I5" i="3"/>
  <c r="H13" i="3"/>
  <c r="H15" i="3" s="1"/>
  <c r="I7" i="3"/>
  <c r="I12" i="3"/>
  <c r="B15" i="3"/>
  <c r="O4" i="1"/>
  <c r="M4" i="1"/>
  <c r="L5" i="1"/>
  <c r="L6" i="1"/>
  <c r="L7" i="1"/>
  <c r="L8" i="1"/>
  <c r="L9" i="1"/>
  <c r="L10" i="1"/>
  <c r="L11" i="1"/>
  <c r="L12" i="1"/>
  <c r="L4" i="1"/>
  <c r="K4" i="1" s="1"/>
  <c r="H4" i="1"/>
  <c r="H5" i="1"/>
  <c r="H6" i="1"/>
  <c r="H7" i="1"/>
  <c r="H8" i="1"/>
  <c r="I8" i="1" s="1"/>
  <c r="H9" i="1"/>
  <c r="H10" i="1"/>
  <c r="I10" i="1" s="1"/>
  <c r="H11" i="1"/>
  <c r="H12" i="1"/>
  <c r="H3" i="1"/>
  <c r="C13" i="1"/>
  <c r="C15" i="1" s="1"/>
  <c r="D13" i="1"/>
  <c r="D15" i="1" s="1"/>
  <c r="E13" i="1"/>
  <c r="E15" i="1" s="1"/>
  <c r="F13" i="1"/>
  <c r="F15" i="1" s="1"/>
  <c r="G13" i="1"/>
  <c r="G15" i="1" s="1"/>
  <c r="B13" i="1"/>
  <c r="B15" i="1" s="1"/>
  <c r="T14" i="3" l="1"/>
  <c r="T12" i="3"/>
  <c r="T31" i="3"/>
  <c r="T6" i="3"/>
  <c r="T23" i="3"/>
  <c r="T17" i="3"/>
  <c r="T25" i="3"/>
  <c r="T3" i="3"/>
  <c r="T28" i="3"/>
  <c r="T30" i="3"/>
  <c r="T8" i="3"/>
  <c r="T11" i="3"/>
  <c r="T26" i="3"/>
  <c r="T5" i="3"/>
  <c r="T10" i="3"/>
  <c r="T16" i="3"/>
  <c r="T19" i="3"/>
  <c r="T13" i="3"/>
  <c r="T18" i="3"/>
  <c r="T24" i="3"/>
  <c r="T27" i="3"/>
  <c r="T22" i="3"/>
  <c r="T21" i="3"/>
  <c r="T7" i="3"/>
  <c r="T32" i="3"/>
  <c r="O4" i="3"/>
  <c r="T20" i="3"/>
  <c r="T29" i="3"/>
  <c r="T15" i="3"/>
  <c r="T9" i="3"/>
  <c r="I4" i="1"/>
  <c r="I13" i="1"/>
  <c r="I6" i="1"/>
  <c r="I7" i="1"/>
  <c r="I5" i="1"/>
  <c r="O5" i="1"/>
  <c r="P4" i="1"/>
  <c r="M5" i="1"/>
  <c r="I12" i="1"/>
  <c r="I9" i="1"/>
  <c r="N3" i="1"/>
  <c r="K5" i="1"/>
  <c r="I11" i="1"/>
  <c r="H13" i="1"/>
  <c r="H15" i="1" s="1"/>
  <c r="O5" i="3" l="1"/>
  <c r="O6" i="3" s="1"/>
  <c r="O7" i="3" s="1"/>
  <c r="O8" i="3" s="1"/>
  <c r="O9" i="3" s="1"/>
  <c r="O10" i="3" s="1"/>
  <c r="O11" i="3" s="1"/>
  <c r="O12" i="3" s="1"/>
  <c r="O13" i="3" s="1"/>
  <c r="O14" i="3" s="1"/>
  <c r="O15" i="3" s="1"/>
  <c r="O16" i="3" s="1"/>
  <c r="O17" i="3" s="1"/>
  <c r="O18" i="3" s="1"/>
  <c r="O19" i="3" s="1"/>
  <c r="O20" i="3" s="1"/>
  <c r="O21" i="3" s="1"/>
  <c r="O22" i="3" s="1"/>
  <c r="O23" i="3" s="1"/>
  <c r="O24" i="3" s="1"/>
  <c r="O25" i="3" s="1"/>
  <c r="O26" i="3" s="1"/>
  <c r="O27" i="3" s="1"/>
  <c r="O28" i="3" s="1"/>
  <c r="O29" i="3" s="1"/>
  <c r="O30" i="3" s="1"/>
  <c r="O31" i="3" s="1"/>
  <c r="O32" i="3" s="1"/>
  <c r="R5" i="3"/>
  <c r="R6" i="3" s="1"/>
  <c r="R7" i="3" s="1"/>
  <c r="R8" i="3" s="1"/>
  <c r="R9" i="3" s="1"/>
  <c r="R10" i="3" s="1"/>
  <c r="R11" i="3" s="1"/>
  <c r="R12" i="3" s="1"/>
  <c r="R13" i="3" s="1"/>
  <c r="R14" i="3" s="1"/>
  <c r="R15" i="3" s="1"/>
  <c r="R16" i="3" s="1"/>
  <c r="R17" i="3" s="1"/>
  <c r="R18" i="3" s="1"/>
  <c r="R19" i="3" s="1"/>
  <c r="R20" i="3" s="1"/>
  <c r="R21" i="3" s="1"/>
  <c r="R22" i="3" s="1"/>
  <c r="R23" i="3" s="1"/>
  <c r="R24" i="3" s="1"/>
  <c r="R25" i="3" s="1"/>
  <c r="R26" i="3" s="1"/>
  <c r="R27" i="3" s="1"/>
  <c r="R28" i="3" s="1"/>
  <c r="R29" i="3" s="1"/>
  <c r="R30" i="3" s="1"/>
  <c r="R31" i="3" s="1"/>
  <c r="R32" i="3" s="1"/>
  <c r="O6" i="1"/>
  <c r="P5" i="1"/>
  <c r="M6" i="1"/>
  <c r="N4" i="1"/>
  <c r="K6" i="1"/>
  <c r="N5" i="1"/>
  <c r="O7" i="1" l="1"/>
  <c r="P6" i="1"/>
  <c r="M7" i="1"/>
  <c r="K7" i="1"/>
  <c r="N6" i="1"/>
  <c r="O8" i="1" l="1"/>
  <c r="P7" i="1"/>
  <c r="M8" i="1"/>
  <c r="K8" i="1"/>
  <c r="N7" i="1"/>
  <c r="O9" i="1" l="1"/>
  <c r="P8" i="1"/>
  <c r="M9" i="1"/>
  <c r="K9" i="1"/>
  <c r="N8" i="1"/>
  <c r="O10" i="1" l="1"/>
  <c r="P9" i="1"/>
  <c r="M10" i="1"/>
  <c r="K10" i="1"/>
  <c r="N9" i="1"/>
  <c r="O11" i="1" l="1"/>
  <c r="P10" i="1"/>
  <c r="M11" i="1"/>
  <c r="K11" i="1"/>
  <c r="N10" i="1"/>
  <c r="O12" i="1" l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P11" i="1"/>
  <c r="M12" i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K12" i="1"/>
  <c r="K20" i="1" s="1"/>
  <c r="N11" i="1"/>
  <c r="P20" i="1" l="1"/>
  <c r="N20" i="1"/>
  <c r="K21" i="1"/>
  <c r="P12" i="1"/>
  <c r="M13" i="1"/>
  <c r="L13" i="1"/>
  <c r="N12" i="1"/>
  <c r="K13" i="1"/>
  <c r="K14" i="1" s="1"/>
  <c r="P21" i="1" l="1"/>
  <c r="N21" i="1"/>
  <c r="K22" i="1"/>
  <c r="N22" i="1" l="1"/>
  <c r="K23" i="1"/>
  <c r="P22" i="1"/>
  <c r="P23" i="1" l="1"/>
  <c r="N23" i="1"/>
  <c r="K24" i="1"/>
  <c r="K25" i="1" l="1"/>
  <c r="P24" i="1"/>
  <c r="N24" i="1"/>
  <c r="N25" i="1" l="1"/>
  <c r="K26" i="1"/>
  <c r="P25" i="1"/>
  <c r="N26" i="1" l="1"/>
  <c r="P26" i="1"/>
  <c r="K27" i="1"/>
  <c r="P27" i="1" l="1"/>
  <c r="K28" i="1"/>
  <c r="N27" i="1"/>
  <c r="K29" i="1" l="1"/>
  <c r="N28" i="1"/>
  <c r="P28" i="1"/>
  <c r="K4" i="3"/>
  <c r="K30" i="1" l="1"/>
  <c r="N29" i="1"/>
  <c r="P29" i="1"/>
  <c r="N4" i="3"/>
  <c r="Q4" i="3" s="1"/>
  <c r="M4" i="3"/>
  <c r="S4" i="3"/>
  <c r="K5" i="3" s="1"/>
  <c r="P4" i="3"/>
  <c r="N30" i="1" l="1"/>
  <c r="K31" i="1"/>
  <c r="P30" i="1"/>
  <c r="L5" i="3"/>
  <c r="V5" i="3"/>
  <c r="K32" i="1" l="1"/>
  <c r="P31" i="1"/>
  <c r="N31" i="1"/>
  <c r="N5" i="3"/>
  <c r="Q5" i="3" s="1"/>
  <c r="S5" i="3"/>
  <c r="K6" i="3" s="1"/>
  <c r="P5" i="3"/>
  <c r="M5" i="3"/>
  <c r="P32" i="1" l="1"/>
  <c r="K33" i="1"/>
  <c r="N32" i="1"/>
  <c r="V6" i="3"/>
  <c r="L6" i="3"/>
  <c r="K34" i="1" l="1"/>
  <c r="N33" i="1"/>
  <c r="P33" i="1"/>
  <c r="S6" i="3"/>
  <c r="K7" i="3" s="1"/>
  <c r="P6" i="3"/>
  <c r="N6" i="3"/>
  <c r="V7" i="3" s="1"/>
  <c r="M6" i="3"/>
  <c r="N34" i="1" l="1"/>
  <c r="P34" i="1"/>
  <c r="K35" i="1"/>
  <c r="Q6" i="3"/>
  <c r="L7" i="3"/>
  <c r="K36" i="1" l="1"/>
  <c r="N35" i="1"/>
  <c r="P35" i="1"/>
  <c r="M7" i="3"/>
  <c r="S7" i="3"/>
  <c r="K8" i="3" s="1"/>
  <c r="P7" i="3"/>
  <c r="N7" i="3"/>
  <c r="P36" i="1" l="1"/>
  <c r="N36" i="1"/>
  <c r="K37" i="1"/>
  <c r="S8" i="3"/>
  <c r="V8" i="3"/>
  <c r="Q7" i="3"/>
  <c r="P8" i="3"/>
  <c r="P37" i="1" l="1"/>
  <c r="K38" i="1"/>
  <c r="N37" i="1"/>
  <c r="N8" i="3"/>
  <c r="M8" i="3"/>
  <c r="L8" i="3"/>
  <c r="K9" i="3" s="1"/>
  <c r="K39" i="1" l="1"/>
  <c r="P38" i="1"/>
  <c r="N38" i="1"/>
  <c r="L9" i="3"/>
  <c r="M9" i="3"/>
  <c r="N9" i="3"/>
  <c r="Q9" i="3" s="1"/>
  <c r="P9" i="3"/>
  <c r="S9" i="3"/>
  <c r="Q8" i="3"/>
  <c r="V9" i="3"/>
  <c r="K40" i="1" l="1"/>
  <c r="P39" i="1"/>
  <c r="N39" i="1"/>
  <c r="K10" i="3"/>
  <c r="P10" i="3" s="1"/>
  <c r="V10" i="3"/>
  <c r="P40" i="1" l="1"/>
  <c r="N40" i="1"/>
  <c r="S10" i="3"/>
  <c r="L10" i="3"/>
  <c r="M10" i="3"/>
  <c r="N10" i="3"/>
  <c r="V11" i="3" s="1"/>
  <c r="Q10" i="3" l="1"/>
  <c r="K11" i="3"/>
  <c r="L11" i="3" s="1"/>
  <c r="S11" i="3" l="1"/>
  <c r="K12" i="3" s="1"/>
  <c r="M11" i="3"/>
  <c r="P11" i="3"/>
  <c r="N11" i="3"/>
  <c r="Q11" i="3" s="1"/>
  <c r="V12" i="3" l="1"/>
  <c r="M12" i="3"/>
  <c r="P12" i="3"/>
  <c r="N12" i="3"/>
  <c r="S12" i="3"/>
  <c r="L12" i="3"/>
  <c r="K13" i="3" l="1"/>
  <c r="L13" i="3" s="1"/>
  <c r="V13" i="3"/>
  <c r="Q12" i="3"/>
  <c r="N13" i="3" l="1"/>
  <c r="M13" i="3"/>
  <c r="P13" i="3"/>
  <c r="S13" i="3"/>
  <c r="K14" i="3" s="1"/>
  <c r="Q13" i="3" l="1"/>
  <c r="V14" i="3"/>
  <c r="M14" i="3" l="1"/>
  <c r="P14" i="3"/>
  <c r="S14" i="3"/>
  <c r="N14" i="3"/>
  <c r="L14" i="3"/>
  <c r="K15" i="3" l="1"/>
  <c r="V15" i="3"/>
  <c r="Q14" i="3"/>
  <c r="N15" i="3" l="1"/>
  <c r="M15" i="3"/>
  <c r="P15" i="3"/>
  <c r="S15" i="3"/>
  <c r="L15" i="3"/>
  <c r="K16" i="3" l="1"/>
  <c r="Q15" i="3"/>
  <c r="V16" i="3"/>
  <c r="P16" i="3" l="1"/>
  <c r="N16" i="3"/>
  <c r="M16" i="3"/>
  <c r="S16" i="3"/>
  <c r="L16" i="3"/>
  <c r="K17" i="3" l="1"/>
  <c r="Q16" i="3"/>
  <c r="V17" i="3"/>
  <c r="N17" i="3" l="1"/>
  <c r="P17" i="3"/>
  <c r="M17" i="3"/>
  <c r="S17" i="3"/>
  <c r="L17" i="3"/>
  <c r="K18" i="3" l="1"/>
  <c r="Q17" i="3"/>
  <c r="V18" i="3"/>
  <c r="S18" i="3" l="1"/>
  <c r="P18" i="3"/>
  <c r="N18" i="3"/>
  <c r="M18" i="3"/>
  <c r="L18" i="3"/>
  <c r="K19" i="3" l="1"/>
  <c r="L19" i="3" s="1"/>
  <c r="V19" i="3"/>
  <c r="Q18" i="3"/>
  <c r="N19" i="3" l="1"/>
  <c r="S19" i="3"/>
  <c r="K20" i="3" s="1"/>
  <c r="M19" i="3"/>
  <c r="P19" i="3"/>
  <c r="V20" i="3" l="1"/>
  <c r="Q19" i="3"/>
  <c r="P20" i="3" l="1"/>
  <c r="M20" i="3"/>
  <c r="S20" i="3"/>
  <c r="N20" i="3"/>
  <c r="L20" i="3"/>
  <c r="K21" i="3" l="1"/>
  <c r="Q20" i="3"/>
  <c r="V21" i="3"/>
  <c r="M21" i="3" l="1"/>
  <c r="P21" i="3"/>
  <c r="N21" i="3"/>
  <c r="S21" i="3"/>
  <c r="K22" i="3" s="1"/>
  <c r="L21" i="3"/>
  <c r="Q21" i="3" l="1"/>
  <c r="V22" i="3"/>
  <c r="S22" i="3" l="1"/>
  <c r="N22" i="3"/>
  <c r="M22" i="3"/>
  <c r="P22" i="3"/>
  <c r="L22" i="3"/>
  <c r="K23" i="3" l="1"/>
  <c r="Q22" i="3"/>
  <c r="V23" i="3"/>
  <c r="M23" i="3" l="1"/>
  <c r="N23" i="3"/>
  <c r="P23" i="3"/>
  <c r="S23" i="3"/>
  <c r="L23" i="3"/>
  <c r="K24" i="3" l="1"/>
  <c r="Q23" i="3"/>
  <c r="V24" i="3"/>
  <c r="P24" i="3" l="1"/>
  <c r="N24" i="3"/>
  <c r="S24" i="3"/>
  <c r="M24" i="3"/>
  <c r="L24" i="3"/>
  <c r="K25" i="3" l="1"/>
  <c r="V25" i="3"/>
  <c r="Q24" i="3"/>
  <c r="N25" i="3" l="1"/>
  <c r="M25" i="3"/>
  <c r="S25" i="3"/>
  <c r="P25" i="3"/>
  <c r="L25" i="3"/>
  <c r="K26" i="3" l="1"/>
  <c r="Q25" i="3"/>
  <c r="V26" i="3"/>
  <c r="P26" i="3" l="1"/>
  <c r="N26" i="3"/>
  <c r="M26" i="3"/>
  <c r="S26" i="3"/>
  <c r="K27" i="3" s="1"/>
  <c r="L26" i="3"/>
  <c r="Q26" i="3" l="1"/>
  <c r="V27" i="3"/>
  <c r="P27" i="3" l="1"/>
  <c r="M27" i="3"/>
  <c r="N27" i="3"/>
  <c r="S27" i="3"/>
  <c r="K28" i="3" s="1"/>
  <c r="L27" i="3"/>
  <c r="V28" i="3" l="1"/>
  <c r="Q27" i="3"/>
  <c r="S28" i="3" l="1"/>
  <c r="K29" i="3" s="1"/>
  <c r="M28" i="3"/>
  <c r="P28" i="3"/>
  <c r="N28" i="3"/>
  <c r="L28" i="3"/>
  <c r="Q28" i="3" l="1"/>
  <c r="V29" i="3"/>
  <c r="N29" i="3" l="1"/>
  <c r="P29" i="3"/>
  <c r="S29" i="3"/>
  <c r="K30" i="3" s="1"/>
  <c r="M29" i="3"/>
  <c r="L29" i="3"/>
  <c r="Q29" i="3" l="1"/>
  <c r="V30" i="3"/>
  <c r="S30" i="3" l="1"/>
  <c r="K31" i="3" s="1"/>
  <c r="N30" i="3"/>
  <c r="P30" i="3"/>
  <c r="M30" i="3"/>
  <c r="L30" i="3"/>
  <c r="V31" i="3" l="1"/>
  <c r="Q30" i="3"/>
  <c r="N31" i="3" l="1"/>
  <c r="M31" i="3"/>
  <c r="P31" i="3"/>
  <c r="S31" i="3"/>
  <c r="K32" i="3" s="1"/>
  <c r="L31" i="3"/>
  <c r="V32" i="3" l="1"/>
  <c r="Q31" i="3"/>
  <c r="M32" i="3" l="1"/>
  <c r="S32" i="3"/>
  <c r="N32" i="3"/>
  <c r="P32" i="3"/>
  <c r="L32" i="3"/>
  <c r="Q32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tc={FB85961D-EC76-4732-9136-D58E7D21882E}</author>
  </authors>
  <commentList>
    <comment ref="L17" authorId="0" shapeId="0" xr:uid="{FB85961D-EC76-4732-9136-D58E7D21882E}">
      <text>
        <t>[Threaded comment]
Your version of Excel allows you to read this threaded comment; however, any edits to it will get removed if the file is opened in a newer version of Excel. Learn more: https://go.microsoft.com/fwlink/?linkid=870924
Comment:
    https://dtdapps.coloradodot.info/staticdata/Statistics/dsp_folder/Demographic/PopCoProj30.htm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tc={6F2C6F87-D900-4942-8167-1876F501B1BA}</author>
  </authors>
  <commentList>
    <comment ref="T1" authorId="0" shapeId="0" xr:uid="{6F2C6F87-D900-4942-8167-1876F501B1BA}">
      <text>
        <t>[Threaded comment]
Your version of Excel allows you to read this threaded comment; however, any edits to it will get removed if the file is opened in a newer version of Excel. Learn more: https://go.microsoft.com/fwlink/?linkid=870924
Comment:
    Annual Population Growth
https://dtdapps.coloradodot.info/staticdata/Statistics/dsp_folder/Demographic/PopCoProj30.htm</t>
      </text>
    </comment>
  </commentList>
</comments>
</file>

<file path=xl/sharedStrings.xml><?xml version="1.0" encoding="utf-8"?>
<sst xmlns="http://schemas.openxmlformats.org/spreadsheetml/2006/main" count="75" uniqueCount="53">
  <si>
    <t>Year</t>
  </si>
  <si>
    <t>CT</t>
  </si>
  <si>
    <t>MA</t>
  </si>
  <si>
    <t>ME</t>
  </si>
  <si>
    <t>NH</t>
  </si>
  <si>
    <t>RI</t>
  </si>
  <si>
    <t>VT</t>
  </si>
  <si>
    <t>ISO-NE</t>
  </si>
  <si>
    <t>% of HH with HP in 2030</t>
  </si>
  <si>
    <t>HH in 2030</t>
  </si>
  <si>
    <t>CO</t>
  </si>
  <si>
    <t>AGR%</t>
  </si>
  <si>
    <t>Total</t>
  </si>
  <si>
    <t>Annual Heat Pump Installs (000's)</t>
  </si>
  <si>
    <t>35% YOY 2020</t>
  </si>
  <si>
    <t>HH 2030 (000s)</t>
  </si>
  <si>
    <t>HH 2020 (000s)</t>
  </si>
  <si>
    <t>Annual Installs (000's)</t>
  </si>
  <si>
    <t>AC</t>
  </si>
  <si>
    <t>HP</t>
  </si>
  <si>
    <t>2021 AC+HP: 97% &lt;65kbtu, 3% &gt;65kbtu</t>
  </si>
  <si>
    <t>2022-01</t>
  </si>
  <si>
    <t>2022-02</t>
  </si>
  <si>
    <t>2022-03</t>
  </si>
  <si>
    <t xml:space="preserve">https://www.ahrinet.org/resources/statistics/historical-data </t>
  </si>
  <si>
    <t>2021 Furnaces: ~1% oil, 99% gas</t>
  </si>
  <si>
    <t xml:space="preserve">https://www.iso-ne.com/static-assets/documents/2021/02/lfc2021_final_heating_elec.pdf </t>
  </si>
  <si>
    <t>Annual population growth</t>
  </si>
  <si>
    <t>AC AGR%</t>
  </si>
  <si>
    <t>HP AGR%</t>
  </si>
  <si>
    <t>2021 monthly</t>
  </si>
  <si>
    <t>HVAC Market</t>
  </si>
  <si>
    <t>HP % of Market</t>
  </si>
  <si>
    <t>HH</t>
  </si>
  <si>
    <t>% HH added HP by 2030</t>
  </si>
  <si>
    <t>% HH</t>
  </si>
  <si>
    <t>HH in CO</t>
  </si>
  <si>
    <t>% HH/yr</t>
  </si>
  <si>
    <t>Tot  %HH</t>
  </si>
  <si>
    <t>Tot  HP</t>
  </si>
  <si>
    <t>HP % of HVAC</t>
  </si>
  <si>
    <t>% HH in 2030</t>
  </si>
  <si>
    <t>CGR%</t>
  </si>
  <si>
    <t>HVAC</t>
  </si>
  <si>
    <t>Threshold</t>
  </si>
  <si>
    <t>HVAC AGR%</t>
  </si>
  <si>
    <t>CO HPs (000s)</t>
  </si>
  <si>
    <t>HVAC Market (000s)</t>
  </si>
  <si>
    <t>AHRI Annual Shippments of Air Conditioners, Heat Pumps, and Furnaces</t>
  </si>
  <si>
    <t>Furn.</t>
  </si>
  <si>
    <t>Furn. AGR%</t>
  </si>
  <si>
    <t>Total Growth</t>
  </si>
  <si>
    <t>Average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</si>
</sst>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165" fontId="0" fillId="0" borderId="0" xfId="2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164" fontId="0" fillId="0" borderId="1" xfId="0" applyNumberFormat="1" applyBorder="1" applyAlignment="1">
      <alignment horizontal="center"/>
    </xf>
    <xf numFmtId="9" fontId="0" fillId="0" borderId="1" xfId="2" applyFont="1" applyBorder="1" applyAlignment="1">
      <alignment horizontal="center"/>
    </xf>
    <xf numFmtId="0" fontId="2" fillId="0" borderId="0" xfId="0" applyFont="1" applyAlignment="1">
      <alignment horizontal="center"/>
    </xf>
    <xf numFmtId="9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165" fontId="0" fillId="0" borderId="0" xfId="2" applyNumberFormat="1" applyFont="1" applyBorder="1" applyAlignment="1">
      <alignment horizontal="center"/>
    </xf>
    <xf numFmtId="165" fontId="0" fillId="0" borderId="5" xfId="2" applyNumberFormat="1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1" fontId="0" fillId="0" borderId="7" xfId="1" applyNumberFormat="1" applyFont="1" applyBorder="1" applyAlignment="1">
      <alignment horizontal="center"/>
    </xf>
    <xf numFmtId="1" fontId="0" fillId="0" borderId="8" xfId="1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9" fontId="3" fillId="0" borderId="1" xfId="2" applyFont="1" applyBorder="1" applyAlignment="1">
      <alignment horizontal="center"/>
    </xf>
    <xf numFmtId="0" fontId="0" fillId="0" borderId="0" xfId="0" applyAlignment="1">
      <alignment horizontal="right"/>
    </xf>
    <xf numFmtId="165" fontId="0" fillId="0" borderId="0" xfId="2" applyNumberFormat="1" applyFont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3"/>
    <xf numFmtId="0" fontId="0" fillId="0" borderId="0" xfId="0" applyBorder="1"/>
    <xf numFmtId="9" fontId="0" fillId="0" borderId="5" xfId="2" applyFont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9" fontId="0" fillId="2" borderId="0" xfId="2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2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9" fontId="6" fillId="2" borderId="0" xfId="2" applyFont="1" applyFill="1" applyAlignment="1">
      <alignment horizontal="center"/>
    </xf>
    <xf numFmtId="9" fontId="0" fillId="0" borderId="0" xfId="2" applyNumberFormat="1" applyFont="1" applyAlignment="1">
      <alignment horizontal="center"/>
    </xf>
    <xf numFmtId="0" fontId="7" fillId="0" borderId="0" xfId="0" applyFont="1" applyAlignment="1">
      <alignment horizontal="center"/>
    </xf>
    <xf numFmtId="9" fontId="8" fillId="0" borderId="0" xfId="2" applyFont="1" applyAlignment="1">
      <alignment horizontal="center"/>
    </xf>
    <xf numFmtId="9" fontId="3" fillId="0" borderId="0" xfId="2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2" borderId="0" xfId="0" applyNumberFormat="1" applyFill="1" applyAlignment="1">
      <alignment horizontal="center"/>
    </xf>
    <xf numFmtId="10" fontId="0" fillId="0" borderId="0" xfId="2" applyNumberFormat="1" applyFont="1" applyAlignment="1">
      <alignment horizontal="center"/>
    </xf>
    <xf numFmtId="10" fontId="0" fillId="2" borderId="0" xfId="0" applyNumberFormat="1" applyFill="1" applyAlignment="1">
      <alignment horizontal="center"/>
    </xf>
    <xf numFmtId="0" fontId="2" fillId="0" borderId="0" xfId="0" applyFont="1" applyAlignment="1">
      <alignment horizontal="left"/>
    </xf>
    <xf numFmtId="1" fontId="0" fillId="0" borderId="0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7" fillId="0" borderId="0" xfId="0" applyFont="1"/>
    <xf numFmtId="1" fontId="0" fillId="0" borderId="0" xfId="2" applyNumberFormat="1" applyFont="1" applyAlignment="1">
      <alignment horizontal="center"/>
    </xf>
    <xf numFmtId="165" fontId="2" fillId="0" borderId="0" xfId="2" applyNumberFormat="1" applyFont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'Sheet1 (2)'!$K$2</c:f>
              <c:strCache>
                <c:ptCount val="1"/>
                <c:pt idx="0">
                  <c:v>CO HPs (000s)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'Sheet1 (2)'!$J$3:$J$32</c:f>
              <c:numCache>
                <c:formatCode>General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</c:numRef>
          </c:cat>
          <c:val>
            <c:numRef>
              <c:f>'Sheet1 (2)'!$K$3:$K$32</c:f>
              <c:numCache>
                <c:formatCode>0.0</c:formatCode>
                <c:ptCount val="30"/>
                <c:pt idx="0">
                  <c:v>22</c:v>
                </c:pt>
                <c:pt idx="1">
                  <c:v>27.5</c:v>
                </c:pt>
                <c:pt idx="2">
                  <c:v>34.32</c:v>
                </c:pt>
                <c:pt idx="3">
                  <c:v>42.762720000000002</c:v>
                </c:pt>
                <c:pt idx="4">
                  <c:v>53.196823680000001</c:v>
                </c:pt>
                <c:pt idx="5">
                  <c:v>66.070455010559996</c:v>
                </c:pt>
                <c:pt idx="6">
                  <c:v>81.927364213094393</c:v>
                </c:pt>
                <c:pt idx="7">
                  <c:v>101.42607689581085</c:v>
                </c:pt>
                <c:pt idx="8">
                  <c:v>125.36263104322221</c:v>
                </c:pt>
                <c:pt idx="9">
                  <c:v>154.6974867073362</c:v>
                </c:pt>
                <c:pt idx="10">
                  <c:v>190.5873036234382</c:v>
                </c:pt>
                <c:pt idx="11">
                  <c:v>234.42238345682898</c:v>
                </c:pt>
                <c:pt idx="12">
                  <c:v>287.87068688498596</c:v>
                </c:pt>
                <c:pt idx="13">
                  <c:v>312.79206073521334</c:v>
                </c:pt>
                <c:pt idx="14">
                  <c:v>316.58099462533306</c:v>
                </c:pt>
                <c:pt idx="15">
                  <c:v>320.35682749642996</c:v>
                </c:pt>
                <c:pt idx="16">
                  <c:v>324.1179933393276</c:v>
                </c:pt>
                <c:pt idx="17">
                  <c:v>327.86291537531417</c:v>
                </c:pt>
                <c:pt idx="18">
                  <c:v>331.59000710106886</c:v>
                </c:pt>
                <c:pt idx="19">
                  <c:v>335.29767335530778</c:v>
                </c:pt>
                <c:pt idx="20">
                  <c:v>338.98431140621852</c:v>
                </c:pt>
                <c:pt idx="21">
                  <c:v>342.64831205871616</c:v>
                </c:pt>
                <c:pt idx="22">
                  <c:v>346.28806078051514</c:v>
                </c:pt>
                <c:pt idx="23">
                  <c:v>349.90193884597522</c:v>
                </c:pt>
                <c:pt idx="24">
                  <c:v>353.48832449664468</c:v>
                </c:pt>
                <c:pt idx="25">
                  <c:v>357.04559411738984</c:v>
                </c:pt>
                <c:pt idx="26">
                  <c:v>360.57212342696693</c:v>
                </c:pt>
                <c:pt idx="27">
                  <c:v>364.06628868186169</c:v>
                </c:pt>
                <c:pt idx="28">
                  <c:v>367.52646789219074</c:v>
                </c:pt>
                <c:pt idx="29">
                  <c:v>370.95104204843227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1C-464E-9008-3E19BCAA1950}"/>
            </c:ext>
          </c:extLst>
        </c:ser>
        <c:ser>
          <c:idx val="7"/>
          <c:order val="7"/>
          <c:tx>
            <c:strRef>
              <c:f>'Sheet1 (2)'!$R$2</c:f>
              <c:strCache>
                <c:ptCount val="1"/>
                <c:pt idx="0">
                  <c:v>HVAC Market (000s)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'Sheet1 (2)'!$J$3:$J$32</c:f>
              <c:numCache>
                <c:formatCode>General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</c:numRef>
          </c:cat>
          <c:val>
            <c:numRef>
              <c:f>'Sheet1 (2)'!$R$3:$R$32</c:f>
              <c:numCache>
                <c:formatCode>0.0</c:formatCode>
                <c:ptCount val="30"/>
                <c:pt idx="0">
                  <c:v>263.03063999999995</c:v>
                </c:pt>
                <c:pt idx="1">
                  <c:v>266.854032590055</c:v>
                </c:pt>
                <c:pt idx="2">
                  <c:v>270.68327133918848</c:v>
                </c:pt>
                <c:pt idx="3">
                  <c:v>274.51701400845673</c:v>
                </c:pt>
                <c:pt idx="4">
                  <c:v>278.35389633021254</c:v>
                </c:pt>
                <c:pt idx="5">
                  <c:v>282.19253270486672</c:v>
                </c:pt>
                <c:pt idx="6">
                  <c:v>286.03151692765357</c:v>
                </c:pt>
                <c:pt idx="7">
                  <c:v>289.86942294502592</c:v>
                </c:pt>
                <c:pt idx="8">
                  <c:v>293.70480564025695</c:v>
                </c:pt>
                <c:pt idx="9">
                  <c:v>297.5362016477859</c:v>
                </c:pt>
                <c:pt idx="10">
                  <c:v>301.36213019579799</c:v>
                </c:pt>
                <c:pt idx="11">
                  <c:v>305.18109397648539</c:v>
                </c:pt>
                <c:pt idx="12">
                  <c:v>308.9915800433937</c:v>
                </c:pt>
                <c:pt idx="13">
                  <c:v>312.79206073521334</c:v>
                </c:pt>
                <c:pt idx="14">
                  <c:v>316.58099462533306</c:v>
                </c:pt>
                <c:pt idx="15">
                  <c:v>320.35682749642996</c:v>
                </c:pt>
                <c:pt idx="16">
                  <c:v>324.1179933393276</c:v>
                </c:pt>
                <c:pt idx="17">
                  <c:v>327.86291537531417</c:v>
                </c:pt>
                <c:pt idx="18">
                  <c:v>331.59000710106886</c:v>
                </c:pt>
                <c:pt idx="19">
                  <c:v>335.29767335530778</c:v>
                </c:pt>
                <c:pt idx="20">
                  <c:v>338.98431140621852</c:v>
                </c:pt>
                <c:pt idx="21">
                  <c:v>342.64831205871616</c:v>
                </c:pt>
                <c:pt idx="22">
                  <c:v>346.28806078051514</c:v>
                </c:pt>
                <c:pt idx="23">
                  <c:v>349.90193884597522</c:v>
                </c:pt>
                <c:pt idx="24">
                  <c:v>353.48832449664468</c:v>
                </c:pt>
                <c:pt idx="25">
                  <c:v>357.04559411738984</c:v>
                </c:pt>
                <c:pt idx="26">
                  <c:v>360.57212342696693</c:v>
                </c:pt>
                <c:pt idx="27">
                  <c:v>364.06628868186169</c:v>
                </c:pt>
                <c:pt idx="28">
                  <c:v>367.52646789219074</c:v>
                </c:pt>
                <c:pt idx="29">
                  <c:v>370.95104204843227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C1C-464E-9008-3E19BCAA1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948783"/>
        <c:axId val="1333950863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'Sheet1 (2)'!$L$2</c15:sqref>
                        </c15:formulaRef>
                      </c:ext>
                    </c:extLst>
                    <c:strCache>
                      <c:ptCount val="1"/>
                      <c:pt idx="0">
                        <c:v>AGR%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'Sheet1 (2)'!$J$3:$J$32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  <c:pt idx="20">
                        <c:v>2041</c:v>
                      </c:pt>
                      <c:pt idx="21">
                        <c:v>2042</c:v>
                      </c:pt>
                      <c:pt idx="22">
                        <c:v>2043</c:v>
                      </c:pt>
                      <c:pt idx="23">
                        <c:v>2044</c:v>
                      </c:pt>
                      <c:pt idx="24">
                        <c:v>2045</c:v>
                      </c:pt>
                      <c:pt idx="25">
                        <c:v>2046</c:v>
                      </c:pt>
                      <c:pt idx="26">
                        <c:v>2047</c:v>
                      </c:pt>
                      <c:pt idx="27">
                        <c:v>2048</c:v>
                      </c:pt>
                      <c:pt idx="28">
                        <c:v>2049</c:v>
                      </c:pt>
                      <c:pt idx="29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'Sheet1 (2)'!$L$3:$L$32</c15:sqref>
                        </c15:formulaRef>
                      </c:ext>
                    </c:extLst>
                    <c:numCache>
                      <c:formatCode>0%</c:formatCode>
                      <c:ptCount val="30"/>
                      <c:pt idx="0">
                        <c:v>0</c:v>
                      </c:pt>
                      <c:pt idx="1">
                        <c:v>0.25</c:v>
                      </c:pt>
                      <c:pt idx="2" formatCode="0.0%">
                        <c:v>0.248</c:v>
                      </c:pt>
                      <c:pt idx="3" formatCode="0.0%">
                        <c:v>0.246</c:v>
                      </c:pt>
                      <c:pt idx="4" formatCode="0.0%">
                        <c:v>0.24399999999999999</c:v>
                      </c:pt>
                      <c:pt idx="5" formatCode="0.0%">
                        <c:v>0.24199999999999999</c:v>
                      </c:pt>
                      <c:pt idx="6" formatCode="0.0%">
                        <c:v>0.24</c:v>
                      </c:pt>
                      <c:pt idx="7" formatCode="0.0%">
                        <c:v>0.23799999999999999</c:v>
                      </c:pt>
                      <c:pt idx="8" formatCode="0.0%">
                        <c:v>0.23599999999999999</c:v>
                      </c:pt>
                      <c:pt idx="9" formatCode="0.0%">
                        <c:v>0.23399999999999999</c:v>
                      </c:pt>
                      <c:pt idx="10" formatCode="0.0%">
                        <c:v>0.23199999999999998</c:v>
                      </c:pt>
                      <c:pt idx="11" formatCode="0.0%">
                        <c:v>0.22999999999999998</c:v>
                      </c:pt>
                      <c:pt idx="12" formatCode="0.0%">
                        <c:v>0.22799999999999976</c:v>
                      </c:pt>
                      <c:pt idx="13" formatCode="0.0%">
                        <c:v>8.6571418993363292E-2</c:v>
                      </c:pt>
                      <c:pt idx="14" formatCode="0.0%">
                        <c:v>1.2113267457025234E-2</c:v>
                      </c:pt>
                      <c:pt idx="15" formatCode="0.0%">
                        <c:v>1.1926909496148053E-2</c:v>
                      </c:pt>
                      <c:pt idx="16" formatCode="0.0%">
                        <c:v>1.1740551535270649E-2</c:v>
                      </c:pt>
                      <c:pt idx="17" formatCode="0.0%">
                        <c:v>1.1554193574393468E-2</c:v>
                      </c:pt>
                      <c:pt idx="18" formatCode="0.0%">
                        <c:v>1.1367835613516064E-2</c:v>
                      </c:pt>
                      <c:pt idx="19" formatCode="0.0%">
                        <c:v>1.1181477652638661E-2</c:v>
                      </c:pt>
                      <c:pt idx="20" formatCode="0.0%">
                        <c:v>1.0995119691761479E-2</c:v>
                      </c:pt>
                      <c:pt idx="21" formatCode="0.0%">
                        <c:v>1.0808761730884076E-2</c:v>
                      </c:pt>
                      <c:pt idx="22" formatCode="0.0%">
                        <c:v>1.0622403770006894E-2</c:v>
                      </c:pt>
                      <c:pt idx="23" formatCode="0.0%">
                        <c:v>1.0436045809129491E-2</c:v>
                      </c:pt>
                      <c:pt idx="24" formatCode="0.0%">
                        <c:v>1.0249687848252087E-2</c:v>
                      </c:pt>
                      <c:pt idx="25" formatCode="0.0%">
                        <c:v>1.0063329887374906E-2</c:v>
                      </c:pt>
                      <c:pt idx="26" formatCode="0.0%">
                        <c:v>9.876971926497502E-3</c:v>
                      </c:pt>
                      <c:pt idx="27" formatCode="0.0%">
                        <c:v>9.6906139656203205E-3</c:v>
                      </c:pt>
                      <c:pt idx="28" formatCode="0.0%">
                        <c:v>9.504256004742917E-3</c:v>
                      </c:pt>
                      <c:pt idx="29" formatCode="0.0%">
                        <c:v>9.3178980438657355E-3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8C1C-464E-9008-3E19BCAA1950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'Sheet1 (2)'!$M$2</c15:sqref>
                        </c15:formulaRef>
                      </c:ext>
                    </c:extLst>
                    <c:strCache>
                      <c:ptCount val="1"/>
                      <c:pt idx="0">
                        <c:v>CGR%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'Sheet1 (2)'!$J$3:$J$32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  <c:pt idx="20">
                        <c:v>2041</c:v>
                      </c:pt>
                      <c:pt idx="21">
                        <c:v>2042</c:v>
                      </c:pt>
                      <c:pt idx="22">
                        <c:v>2043</c:v>
                      </c:pt>
                      <c:pt idx="23">
                        <c:v>2044</c:v>
                      </c:pt>
                      <c:pt idx="24">
                        <c:v>2045</c:v>
                      </c:pt>
                      <c:pt idx="25">
                        <c:v>2046</c:v>
                      </c:pt>
                      <c:pt idx="26">
                        <c:v>2047</c:v>
                      </c:pt>
                      <c:pt idx="27">
                        <c:v>2048</c:v>
                      </c:pt>
                      <c:pt idx="28">
                        <c:v>2049</c:v>
                      </c:pt>
                      <c:pt idx="29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'Sheet1 (2)'!$M$3:$M$32</c15:sqref>
                        </c15:formulaRef>
                      </c:ext>
                    </c:extLst>
                    <c:numCache>
                      <c:formatCode>0%</c:formatCode>
                      <c:ptCount val="30"/>
                      <c:pt idx="1">
                        <c:v>0.25</c:v>
                      </c:pt>
                      <c:pt idx="2">
                        <c:v>0.56000000000000005</c:v>
                      </c:pt>
                      <c:pt idx="3">
                        <c:v>0.94376000000000015</c:v>
                      </c:pt>
                      <c:pt idx="4">
                        <c:v>1.41803744</c:v>
                      </c:pt>
                      <c:pt idx="5">
                        <c:v>2.00320250048</c:v>
                      </c:pt>
                      <c:pt idx="6">
                        <c:v>2.7239711005951999</c:v>
                      </c:pt>
                      <c:pt idx="7">
                        <c:v>3.6102762225368572</c:v>
                      </c:pt>
                      <c:pt idx="8">
                        <c:v>4.6983014110555548</c:v>
                      </c:pt>
                      <c:pt idx="9">
                        <c:v>6.0317039412425544</c:v>
                      </c:pt>
                      <c:pt idx="10">
                        <c:v>7.6630592556108272</c:v>
                      </c:pt>
                      <c:pt idx="11">
                        <c:v>9.6555628844013182</c:v>
                      </c:pt>
                      <c:pt idx="12">
                        <c:v>12.085031222044817</c:v>
                      </c:pt>
                      <c:pt idx="13">
                        <c:v>13.217820942509697</c:v>
                      </c:pt>
                      <c:pt idx="14">
                        <c:v>13.390045210242413</c:v>
                      </c:pt>
                      <c:pt idx="15">
                        <c:v>13.561673977110452</c:v>
                      </c:pt>
                      <c:pt idx="16">
                        <c:v>13.732636060878527</c:v>
                      </c:pt>
                      <c:pt idx="17">
                        <c:v>13.902859789787009</c:v>
                      </c:pt>
                      <c:pt idx="18">
                        <c:v>14.072273050048585</c:v>
                      </c:pt>
                      <c:pt idx="19">
                        <c:v>14.240803334332172</c:v>
                      </c:pt>
                      <c:pt idx="20">
                        <c:v>14.408377791191752</c:v>
                      </c:pt>
                      <c:pt idx="21">
                        <c:v>14.574923275396189</c:v>
                      </c:pt>
                      <c:pt idx="22">
                        <c:v>14.740366399114324</c:v>
                      </c:pt>
                      <c:pt idx="23">
                        <c:v>14.904633583907964</c:v>
                      </c:pt>
                      <c:pt idx="24">
                        <c:v>15.067651113483848</c:v>
                      </c:pt>
                      <c:pt idx="25">
                        <c:v>15.229345187154085</c:v>
                      </c:pt>
                      <c:pt idx="26">
                        <c:v>15.389641973953044</c:v>
                      </c:pt>
                      <c:pt idx="27">
                        <c:v>15.54846766735735</c:v>
                      </c:pt>
                      <c:pt idx="28">
                        <c:v>15.705748540554126</c:v>
                      </c:pt>
                      <c:pt idx="29">
                        <c:v>15.861411002201468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C1C-464E-9008-3E19BCAA1950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'Sheet1 (2)'!$N$2</c15:sqref>
                        </c15:formulaRef>
                      </c:ext>
                    </c:extLst>
                    <c:strCache>
                      <c:ptCount val="1"/>
                      <c:pt idx="0">
                        <c:v>Tot  HP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'Sheet1 (2)'!$J$3:$J$32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  <c:pt idx="20">
                        <c:v>2041</c:v>
                      </c:pt>
                      <c:pt idx="21">
                        <c:v>2042</c:v>
                      </c:pt>
                      <c:pt idx="22">
                        <c:v>2043</c:v>
                      </c:pt>
                      <c:pt idx="23">
                        <c:v>2044</c:v>
                      </c:pt>
                      <c:pt idx="24">
                        <c:v>2045</c:v>
                      </c:pt>
                      <c:pt idx="25">
                        <c:v>2046</c:v>
                      </c:pt>
                      <c:pt idx="26">
                        <c:v>2047</c:v>
                      </c:pt>
                      <c:pt idx="27">
                        <c:v>2048</c:v>
                      </c:pt>
                      <c:pt idx="28">
                        <c:v>2049</c:v>
                      </c:pt>
                      <c:pt idx="29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'Sheet1 (2)'!$N$3:$N$32</c15:sqref>
                        </c15:formulaRef>
                      </c:ext>
                    </c:extLst>
                    <c:numCache>
                      <c:formatCode>0</c:formatCode>
                      <c:ptCount val="30"/>
                      <c:pt idx="0">
                        <c:v>22</c:v>
                      </c:pt>
                      <c:pt idx="1">
                        <c:v>49.5</c:v>
                      </c:pt>
                      <c:pt idx="2">
                        <c:v>83.82</c:v>
                      </c:pt>
                      <c:pt idx="3">
                        <c:v>126.58271999999999</c:v>
                      </c:pt>
                      <c:pt idx="4">
                        <c:v>179.77954367999999</c:v>
                      </c:pt>
                      <c:pt idx="5">
                        <c:v>245.84999869055997</c:v>
                      </c:pt>
                      <c:pt idx="6">
                        <c:v>327.77736290365436</c:v>
                      </c:pt>
                      <c:pt idx="7">
                        <c:v>429.20343979946523</c:v>
                      </c:pt>
                      <c:pt idx="8">
                        <c:v>554.5660708426874</c:v>
                      </c:pt>
                      <c:pt idx="9">
                        <c:v>709.26355755002362</c:v>
                      </c:pt>
                      <c:pt idx="10">
                        <c:v>899.85086117346179</c:v>
                      </c:pt>
                      <c:pt idx="11">
                        <c:v>1134.2732446302907</c:v>
                      </c:pt>
                      <c:pt idx="12">
                        <c:v>1422.1439315152766</c:v>
                      </c:pt>
                      <c:pt idx="13">
                        <c:v>1734.93599225049</c:v>
                      </c:pt>
                      <c:pt idx="14">
                        <c:v>2051.516986875823</c:v>
                      </c:pt>
                      <c:pt idx="15">
                        <c:v>2371.873814372253</c:v>
                      </c:pt>
                      <c:pt idx="16">
                        <c:v>2695.9918077115808</c:v>
                      </c:pt>
                      <c:pt idx="17">
                        <c:v>3023.8547230868949</c:v>
                      </c:pt>
                      <c:pt idx="18">
                        <c:v>3355.4447301879636</c:v>
                      </c:pt>
                      <c:pt idx="19">
                        <c:v>3690.7424035432714</c:v>
                      </c:pt>
                      <c:pt idx="20">
                        <c:v>4029.7267149494901</c:v>
                      </c:pt>
                      <c:pt idx="21">
                        <c:v>4372.3750270082064</c:v>
                      </c:pt>
                      <c:pt idx="22">
                        <c:v>4718.6630877887219</c:v>
                      </c:pt>
                      <c:pt idx="23">
                        <c:v>5068.5650266346975</c:v>
                      </c:pt>
                      <c:pt idx="24">
                        <c:v>5422.0533511313424</c:v>
                      </c:pt>
                      <c:pt idx="25">
                        <c:v>5779.098945248732</c:v>
                      </c:pt>
                      <c:pt idx="26">
                        <c:v>6139.6710686756987</c:v>
                      </c:pt>
                      <c:pt idx="27">
                        <c:v>6503.7373573575605</c:v>
                      </c:pt>
                      <c:pt idx="28">
                        <c:v>6871.2638252497509</c:v>
                      </c:pt>
                      <c:pt idx="29">
                        <c:v>7242.214867298183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C1C-464E-9008-3E19BCAA1950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'Sheet1 (2)'!$O$2</c15:sqref>
                        </c15:formulaRef>
                      </c:ext>
                    </c:extLst>
                    <c:strCache>
                      <c:ptCount val="1"/>
                      <c:pt idx="0">
                        <c:v>HH in CO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'Sheet1 (2)'!$J$3:$J$32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  <c:pt idx="20">
                        <c:v>2041</c:v>
                      </c:pt>
                      <c:pt idx="21">
                        <c:v>2042</c:v>
                      </c:pt>
                      <c:pt idx="22">
                        <c:v>2043</c:v>
                      </c:pt>
                      <c:pt idx="23">
                        <c:v>2044</c:v>
                      </c:pt>
                      <c:pt idx="24">
                        <c:v>2045</c:v>
                      </c:pt>
                      <c:pt idx="25">
                        <c:v>2046</c:v>
                      </c:pt>
                      <c:pt idx="26">
                        <c:v>2047</c:v>
                      </c:pt>
                      <c:pt idx="27">
                        <c:v>2048</c:v>
                      </c:pt>
                      <c:pt idx="28">
                        <c:v>2049</c:v>
                      </c:pt>
                      <c:pt idx="29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'Sheet1 (2)'!$O$3:$O$32</c15:sqref>
                        </c15:formulaRef>
                      </c:ext>
                    </c:extLst>
                    <c:numCache>
                      <c:formatCode>0</c:formatCode>
                      <c:ptCount val="30"/>
                      <c:pt idx="0" formatCode="General">
                        <c:v>2400</c:v>
                      </c:pt>
                      <c:pt idx="1">
                        <c:v>2434.8862102762328</c:v>
                      </c:pt>
                      <c:pt idx="2">
                        <c:v>2469.8257633181156</c:v>
                      </c:pt>
                      <c:pt idx="3">
                        <c:v>2504.8064119841561</c:v>
                      </c:pt>
                      <c:pt idx="4">
                        <c:v>2539.81570813389</c:v>
                      </c:pt>
                      <c:pt idx="5">
                        <c:v>2574.8410089854183</c:v>
                      </c:pt>
                      <c:pt idx="6">
                        <c:v>2609.8694837467178</c:v>
                      </c:pt>
                      <c:pt idx="7">
                        <c:v>2644.8881205172993</c:v>
                      </c:pt>
                      <c:pt idx="8">
                        <c:v>2679.8837334563636</c:v>
                      </c:pt>
                      <c:pt idx="9">
                        <c:v>2714.842970213228</c:v>
                      </c:pt>
                      <c:pt idx="10">
                        <c:v>2749.7523196153702</c:v>
                      </c:pt>
                      <c:pt idx="11">
                        <c:v>2784.5981196090502</c:v>
                      </c:pt>
                      <c:pt idx="12">
                        <c:v>2819.366565447071</c:v>
                      </c:pt>
                      <c:pt idx="13">
                        <c:v>2854.0437181178286</c:v>
                      </c:pt>
                      <c:pt idx="14">
                        <c:v>2888.6155130094326</c:v>
                      </c:pt>
                      <c:pt idx="15">
                        <c:v>2923.0677688022652</c:v>
                      </c:pt>
                      <c:pt idx="16">
                        <c:v>2957.3861965829769</c:v>
                      </c:pt>
                      <c:pt idx="17">
                        <c:v>2991.556409172536</c:v>
                      </c:pt>
                      <c:pt idx="18">
                        <c:v>3025.5639306605699</c:v>
                      </c:pt>
                      <c:pt idx="19">
                        <c:v>3059.3942061378807</c:v>
                      </c:pt>
                      <c:pt idx="20">
                        <c:v>3093.0326116186484</c:v>
                      </c:pt>
                      <c:pt idx="21">
                        <c:v>3126.4644641434884</c:v>
                      </c:pt>
                      <c:pt idx="22">
                        <c:v>3159.6750320541987</c:v>
                      </c:pt>
                      <c:pt idx="23">
                        <c:v>3192.6495454306792</c:v>
                      </c:pt>
                      <c:pt idx="24">
                        <c:v>3225.3732066802077</c:v>
                      </c:pt>
                      <c:pt idx="25">
                        <c:v>3257.8312012689307</c:v>
                      </c:pt>
                      <c:pt idx="26">
                        <c:v>3290.0087085851314</c:v>
                      </c:pt>
                      <c:pt idx="27">
                        <c:v>3321.890912923559</c:v>
                      </c:pt>
                      <c:pt idx="28">
                        <c:v>3353.4630145798137</c:v>
                      </c:pt>
                      <c:pt idx="29">
                        <c:v>3384.7102410435432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C1C-464E-9008-3E19BCAA1950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'Sheet1 (2)'!$P$2</c15:sqref>
                        </c15:formulaRef>
                      </c:ext>
                    </c:extLst>
                    <c:strCache>
                      <c:ptCount val="1"/>
                      <c:pt idx="0">
                        <c:v>% HH/yr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'Sheet1 (2)'!$J$3:$J$32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  <c:pt idx="20">
                        <c:v>2041</c:v>
                      </c:pt>
                      <c:pt idx="21">
                        <c:v>2042</c:v>
                      </c:pt>
                      <c:pt idx="22">
                        <c:v>2043</c:v>
                      </c:pt>
                      <c:pt idx="23">
                        <c:v>2044</c:v>
                      </c:pt>
                      <c:pt idx="24">
                        <c:v>2045</c:v>
                      </c:pt>
                      <c:pt idx="25">
                        <c:v>2046</c:v>
                      </c:pt>
                      <c:pt idx="26">
                        <c:v>2047</c:v>
                      </c:pt>
                      <c:pt idx="27">
                        <c:v>2048</c:v>
                      </c:pt>
                      <c:pt idx="28">
                        <c:v>2049</c:v>
                      </c:pt>
                      <c:pt idx="29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'Sheet1 (2)'!$P$3:$P$32</c15:sqref>
                        </c15:formulaRef>
                      </c:ext>
                    </c:extLst>
                    <c:numCache>
                      <c:formatCode>0.0%</c:formatCode>
                      <c:ptCount val="30"/>
                      <c:pt idx="0">
                        <c:v>9.1666666666666667E-3</c:v>
                      </c:pt>
                      <c:pt idx="1">
                        <c:v>1.1294162283205908E-2</c:v>
                      </c:pt>
                      <c:pt idx="2">
                        <c:v>1.3895717062199726E-2</c:v>
                      </c:pt>
                      <c:pt idx="3">
                        <c:v>1.7072265463471872E-2</c:v>
                      </c:pt>
                      <c:pt idx="4">
                        <c:v>2.0945151063376154E-2</c:v>
                      </c:pt>
                      <c:pt idx="5">
                        <c:v>2.5660013484325457E-2</c:v>
                      </c:pt>
                      <c:pt idx="6">
                        <c:v>3.1391364481368547E-2</c:v>
                      </c:pt>
                      <c:pt idx="7">
                        <c:v>3.8347964932434829E-2</c:v>
                      </c:pt>
                      <c:pt idx="8">
                        <c:v>4.6779130556360564E-2</c:v>
                      </c:pt>
                      <c:pt idx="9">
                        <c:v>5.6982112190152201E-2</c:v>
                      </c:pt>
                      <c:pt idx="10">
                        <c:v>6.9310716555772256E-2</c:v>
                      </c:pt>
                      <c:pt idx="11">
                        <c:v>8.4185355799113029E-2</c:v>
                      </c:pt>
                      <c:pt idx="12">
                        <c:v>0.10210473884914567</c:v>
                      </c:pt>
                      <c:pt idx="13">
                        <c:v>0.1095961</c:v>
                      </c:pt>
                      <c:pt idx="14">
                        <c:v>0.1095961</c:v>
                      </c:pt>
                      <c:pt idx="15">
                        <c:v>0.1095961</c:v>
                      </c:pt>
                      <c:pt idx="16">
                        <c:v>0.1095961</c:v>
                      </c:pt>
                      <c:pt idx="17">
                        <c:v>0.1095961</c:v>
                      </c:pt>
                      <c:pt idx="18">
                        <c:v>0.10959609999999999</c:v>
                      </c:pt>
                      <c:pt idx="19">
                        <c:v>0.1095961</c:v>
                      </c:pt>
                      <c:pt idx="20">
                        <c:v>0.10959609999999999</c:v>
                      </c:pt>
                      <c:pt idx="21">
                        <c:v>0.1095961</c:v>
                      </c:pt>
                      <c:pt idx="22">
                        <c:v>0.10959609999999999</c:v>
                      </c:pt>
                      <c:pt idx="23">
                        <c:v>0.10959609999999999</c:v>
                      </c:pt>
                      <c:pt idx="24">
                        <c:v>0.10959609999999999</c:v>
                      </c:pt>
                      <c:pt idx="25">
                        <c:v>0.10959609999999999</c:v>
                      </c:pt>
                      <c:pt idx="26">
                        <c:v>0.1095961</c:v>
                      </c:pt>
                      <c:pt idx="27">
                        <c:v>0.10959610000000002</c:v>
                      </c:pt>
                      <c:pt idx="28">
                        <c:v>0.1095961</c:v>
                      </c:pt>
                      <c:pt idx="29">
                        <c:v>0.1095961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8C1C-464E-9008-3E19BCAA1950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'Sheet1 (2)'!$Q$2</c15:sqref>
                        </c15:formulaRef>
                      </c:ext>
                    </c:extLst>
                    <c:strCache>
                      <c:ptCount val="1"/>
                      <c:pt idx="0">
                        <c:v>Tot  %HH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'Sheet1 (2)'!$J$3:$J$32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  <c:pt idx="20">
                        <c:v>2041</c:v>
                      </c:pt>
                      <c:pt idx="21">
                        <c:v>2042</c:v>
                      </c:pt>
                      <c:pt idx="22">
                        <c:v>2043</c:v>
                      </c:pt>
                      <c:pt idx="23">
                        <c:v>2044</c:v>
                      </c:pt>
                      <c:pt idx="24">
                        <c:v>2045</c:v>
                      </c:pt>
                      <c:pt idx="25">
                        <c:v>2046</c:v>
                      </c:pt>
                      <c:pt idx="26">
                        <c:v>2047</c:v>
                      </c:pt>
                      <c:pt idx="27">
                        <c:v>2048</c:v>
                      </c:pt>
                      <c:pt idx="28">
                        <c:v>2049</c:v>
                      </c:pt>
                      <c:pt idx="29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'Sheet1 (2)'!$Q$3:$Q$32</c15:sqref>
                        </c15:formulaRef>
                      </c:ext>
                    </c:extLst>
                    <c:numCache>
                      <c:formatCode>0%</c:formatCode>
                      <c:ptCount val="30"/>
                      <c:pt idx="0">
                        <c:v>9.1666666666666667E-3</c:v>
                      </c:pt>
                      <c:pt idx="1">
                        <c:v>2.0329492109770635E-2</c:v>
                      </c:pt>
                      <c:pt idx="2">
                        <c:v>3.3937616671141632E-2</c:v>
                      </c:pt>
                      <c:pt idx="3">
                        <c:v>5.0535929401318014E-2</c:v>
                      </c:pt>
                      <c:pt idx="4">
                        <c:v>7.0784483734094086E-2</c:v>
                      </c:pt>
                      <c:pt idx="5">
                        <c:v>9.548162307211111E-2</c:v>
                      </c:pt>
                      <c:pt idx="6">
                        <c:v>0.12559147687075084</c:v>
                      </c:pt>
                      <c:pt idx="7">
                        <c:v>0.16227659554670298</c:v>
                      </c:pt>
                      <c:pt idx="8">
                        <c:v>0.20693661591334755</c:v>
                      </c:pt>
                      <c:pt idx="9">
                        <c:v>0.26125398976365727</c:v>
                      </c:pt>
                      <c:pt idx="10">
                        <c:v>0.32724796875499357</c:v>
                      </c:pt>
                      <c:pt idx="11">
                        <c:v>0.40733822113962337</c:v>
                      </c:pt>
                      <c:pt idx="12">
                        <c:v>0.50441966253854797</c:v>
                      </c:pt>
                      <c:pt idx="13">
                        <c:v>0.60788697147030302</c:v>
                      </c:pt>
                      <c:pt idx="14">
                        <c:v>0.71020770249153053</c:v>
                      </c:pt>
                      <c:pt idx="15">
                        <c:v>0.8114330566287673</c:v>
                      </c:pt>
                      <c:pt idx="16">
                        <c:v>0.91161303546577166</c:v>
                      </c:pt>
                      <c:pt idx="17">
                        <c:v>1.0107964916908563</c:v>
                      </c:pt>
                      <c:pt idx="18">
                        <c:v>1.1090311780175708</c:v>
                      </c:pt>
                      <c:pt idx="19">
                        <c:v>1.2063637945508148</c:v>
                      </c:pt>
                      <c:pt idx="20">
                        <c:v>1.3028400346676752</c:v>
                      </c:pt>
                      <c:pt idx="21">
                        <c:v>1.3985046294796259</c:v>
                      </c:pt>
                      <c:pt idx="22">
                        <c:v>1.4934013909401875</c:v>
                      </c:pt>
                      <c:pt idx="23">
                        <c:v>1.5875732536597476</c:v>
                      </c:pt>
                      <c:pt idx="24">
                        <c:v>1.6810623154869324</c:v>
                      </c:pt>
                      <c:pt idx="25">
                        <c:v>1.7739098769137465</c:v>
                      </c:pt>
                      <c:pt idx="26">
                        <c:v>1.8661564793596139</c:v>
                      </c:pt>
                      <c:pt idx="27">
                        <c:v>1.9578419423874742</c:v>
                      </c:pt>
                      <c:pt idx="28">
                        <c:v>2.0490053999032147</c:v>
                      </c:pt>
                      <c:pt idx="29">
                        <c:v>2.1396853353879206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8C1C-464E-9008-3E19BCAA1950}"/>
                  </c:ext>
                </c:extLst>
              </c15:ser>
            </c15:filteredLineSeries>
          </c:ext>
        </c:extLst>
      </c:lineChart>
      <c:dateAx>
        <c:axId val="1333948783"/>
        <c:scaling>
          <c:orientation val="minMax"/>
        </c:scaling>
        <c:delete val="0"/>
        <c:axPos val="b"/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3950863"/>
        <c:crosses val="autoZero"/>
        <c:auto val="0"/>
        <c:lblOffset val="100"/>
        <c:baseTimeUnit val="days"/>
        <c:majorUnit val="2"/>
        <c:majorTimeUnit val="days"/>
        <c:minorUnit val="1"/>
        <c:minorTimeUnit val="days"/>
      </c:dateAx>
      <c:valAx>
        <c:axId val="1333950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3948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18</xdr:row>
      <xdr:rowOff>9525</xdr:rowOff>
    </xdr:from>
    <xdr:to>
      <xdr:col>8</xdr:col>
      <xdr:colOff>285750</xdr:colOff>
      <xdr:row>33</xdr:row>
      <xdr:rowOff>34925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03CF6D-037E-4742-9244-03A88292C4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0.35135</cdr:x>
      <cdr:y>0.05214</cdr:y>
    </cdr:from>
    <cdr:to>
      <cdr:x>0.35135</cdr:x>
      <cdr:y>0.78216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44CD1067-0937-4063-8B92-28F39BD963B6}"/>
            </a:ext>
          </a:extLst>
        </cdr:cNvPr>
        <cdr:cNvCxnSpPr/>
      </cdr:nvCxnSpPr>
      <cdr:spPr>
        <a:xfrm xmlns:a="http://schemas.openxmlformats.org/drawingml/2006/main" flipV="1">
          <a:off x="1857375" y="142875"/>
          <a:ext cx="0" cy="20002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0.64505</cdr:x>
      <cdr:y>0.04867</cdr:y>
    </cdr:from>
    <cdr:to>
      <cdr:x>0.64505</cdr:x>
      <cdr:y>0.78216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5B7104C3-950B-4C82-A7AF-125D09A89D8D}"/>
            </a:ext>
          </a:extLst>
        </cdr:cNvPr>
        <cdr:cNvCxnSpPr/>
      </cdr:nvCxnSpPr>
      <cdr:spPr>
        <a:xfrm xmlns:a="http://schemas.openxmlformats.org/drawingml/2006/main" flipV="1">
          <a:off x="3409950" y="133505"/>
          <a:ext cx="0" cy="201210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>
  <person displayName="LeMons, Shawn" id="{8A4C4A97-4947-41DF-A79F-A449CABE8408}" userId="S::slemons@hvac.mea.com::14274a56-0219-4942-b63b-ba035f03dee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17" dT="2022-04-21T03:46:43.81" personId="{8A4C4A97-4947-41DF-A79F-A449CABE8408}" id="{FB85961D-EC76-4732-9136-D58E7D21882E}">
    <text>https://dtdapps.coloradodot.info/staticdata/Statistics/dsp_folder/Demographic/PopCoProj30.htm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T1" dT="2022-04-21T05:45:18.71" personId="{8A4C4A97-4947-41DF-A79F-A449CABE8408}" id="{6F2C6F87-D900-4942-8167-1876F501B1BA}">
    <text>Annual Population Growth
https://dtdapps.coloradodot.info/staticdata/Statistics/dsp_folder/Demographic/PopCoProj30.htm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so-ne.com/static-assets/documents/2021/02/lfc2021_final_heating_elec.pdf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so-ne.com/static-assets/documents/2021/02/lfc2021_final_heating_elec.pdf" TargetMode="External"/><Relationship Id="rId6" Type="http://schemas.microsoft.com/office/2017/10/relationships/threadedComment" Target="../threadedComments/threadedComment2.xm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hrinet.org/resources/statistics/historical-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E36CC-EC2D-40AB-8C4E-78CF17D1DEF8}">
  <dimension ref="A1:P40"/>
  <sheetViews>
    <sheetView tabSelected="1" zoomScaleNormal="100" workbookViewId="0">
      <selection activeCell="L45" sqref="L45"/>
    </sheetView>
  </sheetViews>
  <sheetFormatPr defaultRowHeight="14.5" x14ac:dyDescent="0.35"/>
  <cols>
    <col min="1" max="1" width="12.81640625" customWidth="1"/>
    <col min="2" max="3" width="9.08984375" bestFit="1" customWidth="1"/>
    <col min="4" max="7" width="8.81640625" bestFit="1" customWidth="1"/>
    <col min="8" max="8" width="9.08984375" bestFit="1" customWidth="1"/>
    <col min="9" max="10" width="9.08984375" customWidth="1"/>
    <col min="11" max="11" width="19.453125" bestFit="1" customWidth="1"/>
    <col min="12" max="12" width="13.08984375" customWidth="1"/>
    <col min="13" max="13" width="12.26953125" bestFit="1" customWidth="1"/>
    <col min="14" max="14" width="14" bestFit="1" customWidth="1"/>
  </cols>
  <sheetData>
    <row r="1" spans="1:16" x14ac:dyDescent="0.35">
      <c r="A1" s="12"/>
      <c r="B1" s="13" t="s">
        <v>13</v>
      </c>
      <c r="C1" s="13"/>
      <c r="D1" s="13"/>
      <c r="E1" s="13"/>
      <c r="F1" s="13"/>
      <c r="G1" s="13"/>
      <c r="H1" s="13"/>
      <c r="I1" s="14"/>
      <c r="J1" s="33"/>
      <c r="K1" s="28" t="s">
        <v>17</v>
      </c>
      <c r="L1" s="9">
        <v>0.25</v>
      </c>
      <c r="M1" s="11">
        <f>(2.4/130)*(Sheet2!B22+Sheet2!D22+Sheet2!F22)/1000</f>
        <v>263.03063999999995</v>
      </c>
    </row>
    <row r="2" spans="1:16" x14ac:dyDescent="0.35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7" t="s">
        <v>11</v>
      </c>
      <c r="J2" s="15" t="s">
        <v>0</v>
      </c>
      <c r="K2" s="8" t="s">
        <v>10</v>
      </c>
      <c r="L2" s="8" t="s">
        <v>11</v>
      </c>
      <c r="M2" s="8" t="s">
        <v>31</v>
      </c>
      <c r="N2" s="8" t="s">
        <v>32</v>
      </c>
      <c r="O2" s="36" t="s">
        <v>33</v>
      </c>
      <c r="P2" s="36" t="s">
        <v>35</v>
      </c>
    </row>
    <row r="3" spans="1:16" x14ac:dyDescent="0.35">
      <c r="A3" s="15">
        <v>2021</v>
      </c>
      <c r="B3" s="18">
        <v>3</v>
      </c>
      <c r="C3" s="18">
        <v>18.399999999999999</v>
      </c>
      <c r="D3" s="18">
        <v>17.8</v>
      </c>
      <c r="E3" s="18">
        <v>2.9</v>
      </c>
      <c r="F3" s="18">
        <v>1.9</v>
      </c>
      <c r="G3" s="18">
        <v>6</v>
      </c>
      <c r="H3" s="18">
        <f>SUM(B3:G3)</f>
        <v>50</v>
      </c>
      <c r="I3" s="19"/>
      <c r="J3" s="15">
        <v>2021</v>
      </c>
      <c r="K3" s="11">
        <v>22</v>
      </c>
      <c r="L3" s="5" t="s">
        <v>14</v>
      </c>
      <c r="M3" s="2">
        <f>M$1*(1+K$17)</f>
        <v>266.97609959999994</v>
      </c>
      <c r="N3" s="3">
        <f>K3/M3</f>
        <v>8.2404380141000474E-2</v>
      </c>
      <c r="O3" s="30">
        <f>K16</f>
        <v>2400</v>
      </c>
      <c r="P3" s="3">
        <f>K3/O3</f>
        <v>9.1666666666666667E-3</v>
      </c>
    </row>
    <row r="4" spans="1:16" x14ac:dyDescent="0.35">
      <c r="A4" s="15">
        <v>2022</v>
      </c>
      <c r="B4" s="18">
        <v>3.5</v>
      </c>
      <c r="C4" s="18">
        <v>21.1</v>
      </c>
      <c r="D4" s="18">
        <v>22.2</v>
      </c>
      <c r="E4" s="18">
        <v>3.9</v>
      </c>
      <c r="F4" s="18">
        <v>2.2999999999999998</v>
      </c>
      <c r="G4" s="18">
        <v>6.2</v>
      </c>
      <c r="H4" s="18">
        <f t="shared" ref="H4:H13" si="0">SUM(B4:G4)</f>
        <v>59.199999999999996</v>
      </c>
      <c r="I4" s="34">
        <f>(H4/H3)-1</f>
        <v>0.18399999999999994</v>
      </c>
      <c r="J4" s="15">
        <v>2022</v>
      </c>
      <c r="K4" s="2">
        <f>K3*(1+L4)</f>
        <v>27.5</v>
      </c>
      <c r="L4" s="5">
        <f>L$1</f>
        <v>0.25</v>
      </c>
      <c r="M4" s="2">
        <f t="shared" ref="M4:M12" si="1">M3*(1+K$17)</f>
        <v>270.98074109399994</v>
      </c>
      <c r="N4" s="3">
        <f t="shared" ref="N4:N12" si="2">K4/M4</f>
        <v>0.10148322677463113</v>
      </c>
      <c r="O4" s="4">
        <f t="shared" ref="O4:O12" si="3">O3*(1+K$17)</f>
        <v>2435.9999999999995</v>
      </c>
      <c r="P4" s="3">
        <f t="shared" ref="P4:P12" si="4">K4/O4</f>
        <v>1.1288998357963877E-2</v>
      </c>
    </row>
    <row r="5" spans="1:16" x14ac:dyDescent="0.35">
      <c r="A5" s="15">
        <v>2023</v>
      </c>
      <c r="B5" s="18">
        <v>4</v>
      </c>
      <c r="C5" s="18">
        <v>24.3</v>
      </c>
      <c r="D5" s="18">
        <v>22.9</v>
      </c>
      <c r="E5" s="18">
        <v>5.0999999999999996</v>
      </c>
      <c r="F5" s="18">
        <v>2.7</v>
      </c>
      <c r="G5" s="18">
        <v>6.9</v>
      </c>
      <c r="H5" s="18">
        <f t="shared" si="0"/>
        <v>65.900000000000006</v>
      </c>
      <c r="I5" s="34">
        <f t="shared" ref="I5:I12" si="5">(H5/H4)-1</f>
        <v>0.11317567567567588</v>
      </c>
      <c r="J5" s="15">
        <v>2023</v>
      </c>
      <c r="K5" s="2">
        <f t="shared" ref="K5:K12" si="6">K4*(1+L5)</f>
        <v>34.375</v>
      </c>
      <c r="L5" s="5">
        <f t="shared" ref="L5:L12" si="7">L$1</f>
        <v>0.25</v>
      </c>
      <c r="M5" s="2">
        <f t="shared" si="1"/>
        <v>275.04545221040991</v>
      </c>
      <c r="N5" s="3">
        <f t="shared" si="2"/>
        <v>0.12497934331851125</v>
      </c>
      <c r="O5" s="4">
        <f t="shared" si="3"/>
        <v>2472.5399999999995</v>
      </c>
      <c r="P5" s="3">
        <f t="shared" si="4"/>
        <v>1.3902707337393938E-2</v>
      </c>
    </row>
    <row r="6" spans="1:16" x14ac:dyDescent="0.35">
      <c r="A6" s="15">
        <v>2024</v>
      </c>
      <c r="B6" s="18">
        <v>4.5999999999999996</v>
      </c>
      <c r="C6" s="18">
        <v>28</v>
      </c>
      <c r="D6" s="18">
        <v>23.5</v>
      </c>
      <c r="E6" s="18">
        <v>5.6</v>
      </c>
      <c r="F6" s="18">
        <v>3.3</v>
      </c>
      <c r="G6" s="18">
        <v>7.5</v>
      </c>
      <c r="H6" s="18">
        <f t="shared" si="0"/>
        <v>72.5</v>
      </c>
      <c r="I6" s="34">
        <f t="shared" si="5"/>
        <v>0.10015174506828517</v>
      </c>
      <c r="J6" s="15">
        <v>2024</v>
      </c>
      <c r="K6" s="2">
        <f t="shared" si="6"/>
        <v>42.96875</v>
      </c>
      <c r="L6" s="5">
        <f t="shared" si="7"/>
        <v>0.25</v>
      </c>
      <c r="M6" s="2">
        <f t="shared" si="1"/>
        <v>279.171133993566</v>
      </c>
      <c r="N6" s="3">
        <f t="shared" si="2"/>
        <v>0.15391544743659025</v>
      </c>
      <c r="O6" s="4">
        <f t="shared" si="3"/>
        <v>2509.6280999999994</v>
      </c>
      <c r="P6" s="3">
        <f t="shared" si="4"/>
        <v>1.7121560760337363E-2</v>
      </c>
    </row>
    <row r="7" spans="1:16" x14ac:dyDescent="0.35">
      <c r="A7" s="15">
        <v>2025</v>
      </c>
      <c r="B7" s="18">
        <v>5.2</v>
      </c>
      <c r="C7" s="18">
        <v>32.1</v>
      </c>
      <c r="D7" s="18">
        <v>24.3</v>
      </c>
      <c r="E7" s="18">
        <v>6.2</v>
      </c>
      <c r="F7" s="18">
        <v>3.9</v>
      </c>
      <c r="G7" s="18">
        <v>8</v>
      </c>
      <c r="H7" s="18">
        <f t="shared" si="0"/>
        <v>79.700000000000017</v>
      </c>
      <c r="I7" s="34">
        <f t="shared" si="5"/>
        <v>9.9310344827586494E-2</v>
      </c>
      <c r="J7" s="15">
        <v>2025</v>
      </c>
      <c r="K7" s="2">
        <f t="shared" si="6"/>
        <v>53.7109375</v>
      </c>
      <c r="L7" s="5">
        <f t="shared" si="7"/>
        <v>0.25</v>
      </c>
      <c r="M7" s="2">
        <f t="shared" si="1"/>
        <v>283.35870100346949</v>
      </c>
      <c r="N7" s="3">
        <f t="shared" si="2"/>
        <v>0.18955104364112099</v>
      </c>
      <c r="O7" s="4">
        <f t="shared" si="3"/>
        <v>2547.2725214999991</v>
      </c>
      <c r="P7" s="3">
        <f t="shared" si="4"/>
        <v>2.1085665961006608E-2</v>
      </c>
    </row>
    <row r="8" spans="1:16" x14ac:dyDescent="0.35">
      <c r="A8" s="15">
        <v>2026</v>
      </c>
      <c r="B8" s="18">
        <v>6.1</v>
      </c>
      <c r="C8" s="18">
        <v>37</v>
      </c>
      <c r="D8" s="18">
        <v>25</v>
      </c>
      <c r="E8" s="18">
        <v>6.8</v>
      </c>
      <c r="F8" s="18">
        <v>4.7</v>
      </c>
      <c r="G8" s="18">
        <v>8.5</v>
      </c>
      <c r="H8" s="18">
        <f t="shared" si="0"/>
        <v>88.1</v>
      </c>
      <c r="I8" s="34">
        <f t="shared" si="5"/>
        <v>0.10539523212045143</v>
      </c>
      <c r="J8" s="15">
        <v>2026</v>
      </c>
      <c r="K8" s="2">
        <f t="shared" si="6"/>
        <v>67.138671875</v>
      </c>
      <c r="L8" s="5">
        <f t="shared" si="7"/>
        <v>0.25</v>
      </c>
      <c r="M8" s="2">
        <f t="shared" si="1"/>
        <v>287.60908151852152</v>
      </c>
      <c r="N8" s="3">
        <f t="shared" si="2"/>
        <v>0.23343724586344949</v>
      </c>
      <c r="O8" s="4">
        <f t="shared" si="3"/>
        <v>2585.481609322499</v>
      </c>
      <c r="P8" s="3">
        <f t="shared" si="4"/>
        <v>2.5967568917495822E-2</v>
      </c>
    </row>
    <row r="9" spans="1:16" x14ac:dyDescent="0.35">
      <c r="A9" s="15">
        <v>2027</v>
      </c>
      <c r="B9" s="18">
        <v>7</v>
      </c>
      <c r="C9" s="18">
        <v>42.5</v>
      </c>
      <c r="D9" s="18">
        <v>25.7</v>
      </c>
      <c r="E9" s="18">
        <v>7.5</v>
      </c>
      <c r="F9" s="18">
        <v>5.7</v>
      </c>
      <c r="G9" s="18">
        <v>9</v>
      </c>
      <c r="H9" s="18">
        <f t="shared" si="0"/>
        <v>97.4</v>
      </c>
      <c r="I9" s="34">
        <f t="shared" si="5"/>
        <v>0.105561861520999</v>
      </c>
      <c r="J9" s="15">
        <v>2027</v>
      </c>
      <c r="K9" s="2">
        <f t="shared" si="6"/>
        <v>83.92333984375</v>
      </c>
      <c r="L9" s="5">
        <f t="shared" si="7"/>
        <v>0.25</v>
      </c>
      <c r="M9" s="2">
        <f t="shared" si="1"/>
        <v>291.92321774129931</v>
      </c>
      <c r="N9" s="3">
        <f t="shared" si="2"/>
        <v>0.28748429293528266</v>
      </c>
      <c r="O9" s="4">
        <f t="shared" si="3"/>
        <v>2624.2638334623362</v>
      </c>
      <c r="P9" s="3">
        <f t="shared" si="4"/>
        <v>3.1979764676718994E-2</v>
      </c>
    </row>
    <row r="10" spans="1:16" x14ac:dyDescent="0.35">
      <c r="A10" s="15">
        <v>2028</v>
      </c>
      <c r="B10" s="18">
        <v>8</v>
      </c>
      <c r="C10" s="18">
        <v>48.9</v>
      </c>
      <c r="D10" s="18">
        <v>26.5</v>
      </c>
      <c r="E10" s="18">
        <v>8.1999999999999993</v>
      </c>
      <c r="F10" s="18">
        <v>6.8</v>
      </c>
      <c r="G10" s="18">
        <v>9.5</v>
      </c>
      <c r="H10" s="18">
        <f t="shared" si="0"/>
        <v>107.9</v>
      </c>
      <c r="I10" s="34">
        <f t="shared" si="5"/>
        <v>0.10780287474332639</v>
      </c>
      <c r="J10" s="15">
        <v>2028</v>
      </c>
      <c r="K10" s="2">
        <f t="shared" si="6"/>
        <v>104.9041748046875</v>
      </c>
      <c r="L10" s="5">
        <f t="shared" si="7"/>
        <v>0.25</v>
      </c>
      <c r="M10" s="2">
        <f t="shared" si="1"/>
        <v>296.30206600741877</v>
      </c>
      <c r="N10" s="3">
        <f t="shared" si="2"/>
        <v>0.35404469573310676</v>
      </c>
      <c r="O10" s="4">
        <f t="shared" si="3"/>
        <v>2663.6277909642708</v>
      </c>
      <c r="P10" s="3">
        <f t="shared" si="4"/>
        <v>3.9383946646205668E-2</v>
      </c>
    </row>
    <row r="11" spans="1:16" x14ac:dyDescent="0.35">
      <c r="A11" s="15">
        <v>2029</v>
      </c>
      <c r="B11" s="18">
        <v>9.1999999999999993</v>
      </c>
      <c r="C11" s="18">
        <v>56.2</v>
      </c>
      <c r="D11" s="18">
        <v>27.3</v>
      </c>
      <c r="E11" s="18">
        <v>9.1</v>
      </c>
      <c r="F11" s="18">
        <v>8.1999999999999993</v>
      </c>
      <c r="G11" s="18">
        <v>10</v>
      </c>
      <c r="H11" s="18">
        <f t="shared" si="0"/>
        <v>120</v>
      </c>
      <c r="I11" s="34">
        <f t="shared" si="5"/>
        <v>0.11214087117701577</v>
      </c>
      <c r="J11" s="15">
        <v>2029</v>
      </c>
      <c r="K11" s="2">
        <f t="shared" si="6"/>
        <v>131.13021850585938</v>
      </c>
      <c r="L11" s="5">
        <f t="shared" si="7"/>
        <v>0.25</v>
      </c>
      <c r="M11" s="2">
        <f t="shared" si="1"/>
        <v>300.74659699753005</v>
      </c>
      <c r="N11" s="3">
        <f t="shared" si="2"/>
        <v>0.43601563513929409</v>
      </c>
      <c r="O11" s="4">
        <f t="shared" si="3"/>
        <v>2703.5822078287347</v>
      </c>
      <c r="P11" s="3">
        <f t="shared" si="4"/>
        <v>4.8502397347543927E-2</v>
      </c>
    </row>
    <row r="12" spans="1:16" x14ac:dyDescent="0.35">
      <c r="A12" s="15">
        <v>2030</v>
      </c>
      <c r="B12" s="18">
        <v>10.6</v>
      </c>
      <c r="C12" s="18">
        <v>64.7</v>
      </c>
      <c r="D12" s="18">
        <v>28.1</v>
      </c>
      <c r="E12" s="18">
        <v>10</v>
      </c>
      <c r="F12" s="18">
        <v>9.8000000000000007</v>
      </c>
      <c r="G12" s="18">
        <v>10.5</v>
      </c>
      <c r="H12" s="18">
        <f t="shared" si="0"/>
        <v>133.69999999999999</v>
      </c>
      <c r="I12" s="34">
        <f t="shared" si="5"/>
        <v>0.11416666666666653</v>
      </c>
      <c r="J12" s="15">
        <v>2030</v>
      </c>
      <c r="K12" s="2">
        <f t="shared" si="6"/>
        <v>163.91277313232422</v>
      </c>
      <c r="L12" s="5">
        <f t="shared" si="7"/>
        <v>0.25</v>
      </c>
      <c r="M12" s="2">
        <f t="shared" si="1"/>
        <v>305.25779595249298</v>
      </c>
      <c r="N12" s="3">
        <f t="shared" si="2"/>
        <v>0.53696506790553455</v>
      </c>
      <c r="O12" s="4">
        <f t="shared" si="3"/>
        <v>2744.1359409461656</v>
      </c>
      <c r="P12" s="3">
        <f t="shared" si="4"/>
        <v>5.9732016437861982E-2</v>
      </c>
    </row>
    <row r="13" spans="1:16" x14ac:dyDescent="0.35">
      <c r="A13" s="20" t="s">
        <v>12</v>
      </c>
      <c r="B13" s="18">
        <f>SUM(B3:B12)</f>
        <v>61.199999999999996</v>
      </c>
      <c r="C13" s="18">
        <f t="shared" ref="C13:G13" si="8">SUM(C3:C12)</f>
        <v>373.2</v>
      </c>
      <c r="D13" s="18">
        <f t="shared" si="8"/>
        <v>243.29999999999998</v>
      </c>
      <c r="E13" s="18">
        <f t="shared" si="8"/>
        <v>65.300000000000011</v>
      </c>
      <c r="F13" s="18">
        <f t="shared" si="8"/>
        <v>49.3</v>
      </c>
      <c r="G13" s="18">
        <f t="shared" si="8"/>
        <v>82.1</v>
      </c>
      <c r="H13" s="18">
        <f t="shared" si="0"/>
        <v>874.4</v>
      </c>
      <c r="I13" s="34">
        <f>(H12/H3)-1</f>
        <v>1.6739999999999999</v>
      </c>
      <c r="J13" s="53" t="s">
        <v>12</v>
      </c>
      <c r="K13" s="26">
        <f>SUM(K3:K12)</f>
        <v>731.56386566162109</v>
      </c>
      <c r="L13" s="27">
        <f>(K12/K3)-1</f>
        <v>6.4505805969238281</v>
      </c>
      <c r="M13" s="6">
        <f>SUM(M3:M12)</f>
        <v>2857.3708861187079</v>
      </c>
      <c r="N13" s="7"/>
      <c r="O13" s="37"/>
      <c r="P13" s="37"/>
    </row>
    <row r="14" spans="1:16" ht="29" x14ac:dyDescent="0.35">
      <c r="A14" s="20" t="s">
        <v>8</v>
      </c>
      <c r="B14" s="21">
        <v>4.2000000000000003E-2</v>
      </c>
      <c r="C14" s="21">
        <v>0.13100000000000001</v>
      </c>
      <c r="D14" s="21">
        <v>0.40200000000000002</v>
      </c>
      <c r="E14" s="21">
        <v>0.109</v>
      </c>
      <c r="F14" s="21">
        <v>0.11</v>
      </c>
      <c r="G14" s="21">
        <v>0.29499999999999998</v>
      </c>
      <c r="H14" s="21">
        <v>0.14000000000000001</v>
      </c>
      <c r="I14" s="22"/>
      <c r="J14" s="21"/>
      <c r="K14" s="3">
        <f>K13/K15</f>
        <v>0.26659170004871607</v>
      </c>
      <c r="L14" s="1" t="s">
        <v>34</v>
      </c>
    </row>
    <row r="15" spans="1:16" x14ac:dyDescent="0.35">
      <c r="A15" s="23" t="s">
        <v>9</v>
      </c>
      <c r="B15" s="24">
        <f>B13/B14</f>
        <v>1457.1428571428569</v>
      </c>
      <c r="C15" s="24">
        <f t="shared" ref="C15:H15" si="9">C13/C14</f>
        <v>2848.8549618320608</v>
      </c>
      <c r="D15" s="24">
        <f t="shared" si="9"/>
        <v>605.22388059701484</v>
      </c>
      <c r="E15" s="24">
        <f t="shared" si="9"/>
        <v>599.08256880733961</v>
      </c>
      <c r="F15" s="24">
        <f t="shared" si="9"/>
        <v>448.18181818181813</v>
      </c>
      <c r="G15" s="24">
        <f t="shared" si="9"/>
        <v>278.30508474576271</v>
      </c>
      <c r="H15" s="24">
        <f t="shared" si="9"/>
        <v>6245.7142857142853</v>
      </c>
      <c r="I15" s="25"/>
      <c r="J15" s="52"/>
      <c r="K15" s="4">
        <f>FV(K17,9,0,-K16)</f>
        <v>2744.1359409461643</v>
      </c>
      <c r="L15" t="s">
        <v>15</v>
      </c>
    </row>
    <row r="16" spans="1:16" x14ac:dyDescent="0.35">
      <c r="A16" s="32" t="s">
        <v>26</v>
      </c>
      <c r="K16" s="10">
        <v>2400</v>
      </c>
      <c r="L16" t="s">
        <v>16</v>
      </c>
    </row>
    <row r="17" spans="9:16" x14ac:dyDescent="0.35">
      <c r="K17" s="35">
        <v>1.4999999999999999E-2</v>
      </c>
      <c r="L17" t="s">
        <v>27</v>
      </c>
    </row>
    <row r="20" spans="9:16" hidden="1" x14ac:dyDescent="0.35">
      <c r="I20">
        <v>2030</v>
      </c>
      <c r="K20" s="39">
        <f>K12</f>
        <v>163.91277313232422</v>
      </c>
      <c r="L20" s="42">
        <v>0.1</v>
      </c>
      <c r="M20" s="39">
        <f>M12</f>
        <v>305.25779595249298</v>
      </c>
      <c r="N20" s="40">
        <f t="shared" ref="N20" si="10">K20/M20</f>
        <v>0.53696506790553455</v>
      </c>
      <c r="O20" s="41">
        <f>O12</f>
        <v>2744.1359409461656</v>
      </c>
      <c r="P20" s="40">
        <f t="shared" ref="P20" si="11">K20/O20</f>
        <v>5.9732016437861982E-2</v>
      </c>
    </row>
    <row r="21" spans="9:16" hidden="1" x14ac:dyDescent="0.35">
      <c r="I21">
        <v>2031</v>
      </c>
      <c r="K21" s="2">
        <f>K20*(1+L21)</f>
        <v>180.30405044555667</v>
      </c>
      <c r="L21" s="5">
        <f>L20</f>
        <v>0.1</v>
      </c>
      <c r="M21" s="2">
        <f>M20*(1+K$17)</f>
        <v>309.83666289178035</v>
      </c>
      <c r="N21" s="3">
        <f t="shared" ref="N21" si="12">K21/M21</f>
        <v>0.5819325859074761</v>
      </c>
      <c r="O21" s="4">
        <f>O20*(1+K$17)</f>
        <v>2785.297980060358</v>
      </c>
      <c r="P21" s="3">
        <f t="shared" ref="P21" si="13">K21/O21</f>
        <v>6.4734205006549944E-2</v>
      </c>
    </row>
    <row r="22" spans="9:16" hidden="1" x14ac:dyDescent="0.35">
      <c r="I22">
        <v>2032</v>
      </c>
      <c r="K22" s="2">
        <f t="shared" ref="K22:K29" si="14">K21*(1+L22)</f>
        <v>198.33445549011236</v>
      </c>
      <c r="L22" s="5">
        <f t="shared" ref="L22:L40" si="15">L21</f>
        <v>0.1</v>
      </c>
      <c r="M22" s="2">
        <f t="shared" ref="M22:M29" si="16">M21*(1+K$17)</f>
        <v>314.48421283515705</v>
      </c>
      <c r="N22" s="3">
        <f t="shared" ref="N22:N29" si="17">K22/M22</f>
        <v>0.63066585664849628</v>
      </c>
      <c r="O22" s="4">
        <f t="shared" ref="O22:O29" si="18">O21*(1+K$17)</f>
        <v>2827.0774497612629</v>
      </c>
      <c r="P22" s="3">
        <f t="shared" ref="P22:P29" si="19">K22/O22</f>
        <v>7.0155296066211778E-2</v>
      </c>
    </row>
    <row r="23" spans="9:16" hidden="1" x14ac:dyDescent="0.35">
      <c r="I23">
        <v>2033</v>
      </c>
      <c r="K23" s="2">
        <f t="shared" si="14"/>
        <v>218.16790103912362</v>
      </c>
      <c r="L23" s="5">
        <f t="shared" si="15"/>
        <v>0.1</v>
      </c>
      <c r="M23" s="2">
        <f t="shared" si="16"/>
        <v>319.20147602768435</v>
      </c>
      <c r="N23" s="3">
        <f t="shared" si="17"/>
        <v>0.68348023873236075</v>
      </c>
      <c r="O23" s="4">
        <f t="shared" si="18"/>
        <v>2869.4836115076814</v>
      </c>
      <c r="P23" s="3">
        <f t="shared" si="19"/>
        <v>7.603037012101771E-2</v>
      </c>
    </row>
    <row r="24" spans="9:16" hidden="1" x14ac:dyDescent="0.35">
      <c r="I24">
        <v>2034</v>
      </c>
      <c r="K24" s="2">
        <f t="shared" si="14"/>
        <v>239.984691143036</v>
      </c>
      <c r="L24" s="5">
        <f t="shared" si="15"/>
        <v>0.1</v>
      </c>
      <c r="M24" s="2">
        <f t="shared" si="16"/>
        <v>323.9894981680996</v>
      </c>
      <c r="N24" s="3">
        <f t="shared" si="17"/>
        <v>0.74071750010403636</v>
      </c>
      <c r="O24" s="4">
        <f t="shared" si="18"/>
        <v>2912.5258656802962</v>
      </c>
      <c r="P24" s="3">
        <f t="shared" si="19"/>
        <v>8.2397445451349263E-2</v>
      </c>
    </row>
    <row r="25" spans="9:16" hidden="1" x14ac:dyDescent="0.35">
      <c r="I25">
        <v>2035</v>
      </c>
      <c r="K25" s="2">
        <f t="shared" si="14"/>
        <v>263.98316025733965</v>
      </c>
      <c r="L25" s="5">
        <f t="shared" si="15"/>
        <v>0.1</v>
      </c>
      <c r="M25" s="2">
        <f t="shared" si="16"/>
        <v>328.84934064062105</v>
      </c>
      <c r="N25" s="3">
        <f t="shared" si="17"/>
        <v>0.80274802966939929</v>
      </c>
      <c r="O25" s="4">
        <f t="shared" si="18"/>
        <v>2956.2137536655005</v>
      </c>
      <c r="P25" s="3">
        <f t="shared" si="19"/>
        <v>8.929772413446721E-2</v>
      </c>
    </row>
    <row r="26" spans="9:16" hidden="1" x14ac:dyDescent="0.35">
      <c r="I26">
        <v>2036</v>
      </c>
      <c r="K26" s="2">
        <f t="shared" si="14"/>
        <v>290.38147628307365</v>
      </c>
      <c r="L26" s="5">
        <f t="shared" si="15"/>
        <v>0.1</v>
      </c>
      <c r="M26" s="2">
        <f t="shared" si="16"/>
        <v>333.78208075023031</v>
      </c>
      <c r="N26" s="3">
        <f t="shared" si="17"/>
        <v>0.86997323412447236</v>
      </c>
      <c r="O26" s="4">
        <f t="shared" si="18"/>
        <v>3000.5569599704827</v>
      </c>
      <c r="P26" s="3">
        <f t="shared" si="19"/>
        <v>9.6775858667895509E-2</v>
      </c>
    </row>
    <row r="27" spans="9:16" hidden="1" x14ac:dyDescent="0.35">
      <c r="I27">
        <v>2037</v>
      </c>
      <c r="K27" s="2">
        <f t="shared" si="14"/>
        <v>319.41962391138105</v>
      </c>
      <c r="L27" s="5">
        <f t="shared" si="15"/>
        <v>0.1</v>
      </c>
      <c r="M27" s="2">
        <f t="shared" si="16"/>
        <v>338.7888119614837</v>
      </c>
      <c r="N27" s="3">
        <f t="shared" si="17"/>
        <v>0.94282813550435451</v>
      </c>
      <c r="O27" s="4">
        <f t="shared" si="18"/>
        <v>3045.5653143700397</v>
      </c>
      <c r="P27" s="3">
        <f t="shared" si="19"/>
        <v>0.104880240920872</v>
      </c>
    </row>
    <row r="28" spans="9:16" hidden="1" x14ac:dyDescent="0.35">
      <c r="I28">
        <v>2038</v>
      </c>
      <c r="K28" s="2">
        <f t="shared" si="14"/>
        <v>351.36158630251919</v>
      </c>
      <c r="L28" s="5">
        <f t="shared" si="15"/>
        <v>0.1</v>
      </c>
      <c r="M28" s="2">
        <f t="shared" si="16"/>
        <v>343.87064414090594</v>
      </c>
      <c r="N28" s="3">
        <f t="shared" si="17"/>
        <v>1.021784186260877</v>
      </c>
      <c r="O28" s="4">
        <f t="shared" si="18"/>
        <v>3091.2487940855899</v>
      </c>
      <c r="P28" s="3">
        <f t="shared" si="19"/>
        <v>0.11366331528370367</v>
      </c>
    </row>
    <row r="29" spans="9:16" hidden="1" x14ac:dyDescent="0.35">
      <c r="I29">
        <v>2039</v>
      </c>
      <c r="K29" s="2">
        <f t="shared" si="14"/>
        <v>386.49774493277113</v>
      </c>
      <c r="L29" s="5">
        <f t="shared" si="15"/>
        <v>0.1</v>
      </c>
      <c r="M29" s="2">
        <f t="shared" si="16"/>
        <v>349.02870380301948</v>
      </c>
      <c r="N29" s="3">
        <f t="shared" si="17"/>
        <v>1.1073523200856796</v>
      </c>
      <c r="O29" s="4">
        <f t="shared" si="18"/>
        <v>3137.6175259968736</v>
      </c>
      <c r="P29" s="3">
        <f t="shared" si="19"/>
        <v>0.12318191804145227</v>
      </c>
    </row>
    <row r="30" spans="9:16" hidden="1" x14ac:dyDescent="0.35">
      <c r="I30">
        <v>2040</v>
      </c>
      <c r="K30" s="2">
        <f t="shared" ref="K30" si="20">K29*(1+L30)</f>
        <v>405.82263217940971</v>
      </c>
      <c r="L30" s="38">
        <v>0.05</v>
      </c>
      <c r="M30" s="2">
        <f t="shared" ref="M30" si="21">M29*(1+K$17)</f>
        <v>354.26413436006476</v>
      </c>
      <c r="N30" s="3">
        <f t="shared" ref="N30" si="22">K30/M30</f>
        <v>1.145536882847255</v>
      </c>
      <c r="O30" s="4">
        <f t="shared" ref="O30" si="23">O29*(1+K$17)</f>
        <v>3184.6817888868263</v>
      </c>
      <c r="P30" s="3">
        <f t="shared" ref="P30" si="24">K30/O30</f>
        <v>0.12742957038770927</v>
      </c>
    </row>
    <row r="31" spans="9:16" hidden="1" x14ac:dyDescent="0.35">
      <c r="I31">
        <v>2041</v>
      </c>
      <c r="K31" s="2">
        <f t="shared" ref="K31:K40" si="25">K30*(1+L31)</f>
        <v>426.1137637883802</v>
      </c>
      <c r="L31" s="5">
        <f t="shared" si="15"/>
        <v>0.05</v>
      </c>
      <c r="M31" s="2">
        <f t="shared" ref="M31:M40" si="26">M30*(1+K$17)</f>
        <v>359.57809637546569</v>
      </c>
      <c r="N31" s="3">
        <f t="shared" ref="N31:N40" si="27">K31/M31</f>
        <v>1.1850381546695743</v>
      </c>
      <c r="O31" s="4">
        <f t="shared" ref="O31:O40" si="28">O30*(1+K$17)</f>
        <v>3232.4520157201282</v>
      </c>
      <c r="P31" s="3">
        <f t="shared" ref="P31:P40" si="29">K31/O31</f>
        <v>0.13182369350452686</v>
      </c>
    </row>
    <row r="32" spans="9:16" hidden="1" x14ac:dyDescent="0.35">
      <c r="I32">
        <v>2042</v>
      </c>
      <c r="K32" s="2">
        <f t="shared" si="25"/>
        <v>447.41945197779921</v>
      </c>
      <c r="L32" s="5">
        <f t="shared" si="15"/>
        <v>0.05</v>
      </c>
      <c r="M32" s="2">
        <f t="shared" si="26"/>
        <v>364.97176782109761</v>
      </c>
      <c r="N32" s="3">
        <f t="shared" si="27"/>
        <v>1.225901539313353</v>
      </c>
      <c r="O32" s="4">
        <f t="shared" si="28"/>
        <v>3280.9387959559299</v>
      </c>
      <c r="P32" s="3">
        <f t="shared" si="29"/>
        <v>0.13636933810813123</v>
      </c>
    </row>
    <row r="33" spans="9:16" hidden="1" x14ac:dyDescent="0.35">
      <c r="I33">
        <v>2043</v>
      </c>
      <c r="K33" s="2">
        <f t="shared" si="25"/>
        <v>469.79042457668919</v>
      </c>
      <c r="L33" s="5">
        <f t="shared" si="15"/>
        <v>0.05</v>
      </c>
      <c r="M33" s="2">
        <f t="shared" si="26"/>
        <v>370.44634433841406</v>
      </c>
      <c r="N33" s="3">
        <f t="shared" si="27"/>
        <v>1.2681740061862272</v>
      </c>
      <c r="O33" s="4">
        <f t="shared" si="28"/>
        <v>3330.1528778952684</v>
      </c>
      <c r="P33" s="3">
        <f t="shared" si="29"/>
        <v>0.14107172907737717</v>
      </c>
    </row>
    <row r="34" spans="9:16" hidden="1" x14ac:dyDescent="0.35">
      <c r="I34">
        <v>2044</v>
      </c>
      <c r="K34" s="2">
        <f t="shared" si="25"/>
        <v>493.27994580552365</v>
      </c>
      <c r="L34" s="5">
        <f t="shared" si="15"/>
        <v>0.05</v>
      </c>
      <c r="M34" s="2">
        <f t="shared" si="26"/>
        <v>376.00303950349024</v>
      </c>
      <c r="N34" s="3">
        <f t="shared" si="27"/>
        <v>1.3119041443305801</v>
      </c>
      <c r="O34" s="4">
        <f t="shared" si="28"/>
        <v>3380.1051710636971</v>
      </c>
      <c r="P34" s="3">
        <f t="shared" si="29"/>
        <v>0.1459362714593557</v>
      </c>
    </row>
    <row r="35" spans="9:16" hidden="1" x14ac:dyDescent="0.35">
      <c r="I35">
        <v>2045</v>
      </c>
      <c r="K35" s="2">
        <f t="shared" si="25"/>
        <v>517.94394309579991</v>
      </c>
      <c r="L35" s="5">
        <f t="shared" si="15"/>
        <v>0.05</v>
      </c>
      <c r="M35" s="2">
        <f t="shared" si="26"/>
        <v>381.64308509604257</v>
      </c>
      <c r="N35" s="3">
        <f t="shared" si="27"/>
        <v>1.3571422182730142</v>
      </c>
      <c r="O35" s="4">
        <f t="shared" si="28"/>
        <v>3430.8067486296522</v>
      </c>
      <c r="P35" s="3">
        <f t="shared" si="29"/>
        <v>0.15096855668209214</v>
      </c>
    </row>
    <row r="36" spans="9:16" hidden="1" x14ac:dyDescent="0.35">
      <c r="I36">
        <v>2046</v>
      </c>
      <c r="K36" s="2">
        <f t="shared" si="25"/>
        <v>543.84114025058989</v>
      </c>
      <c r="L36" s="5">
        <f t="shared" si="15"/>
        <v>0.05</v>
      </c>
      <c r="M36" s="2">
        <f t="shared" si="26"/>
        <v>387.36773137248315</v>
      </c>
      <c r="N36" s="3">
        <f t="shared" si="27"/>
        <v>1.40394022579967</v>
      </c>
      <c r="O36" s="4">
        <f t="shared" si="28"/>
        <v>3482.2688498590969</v>
      </c>
      <c r="P36" s="3">
        <f t="shared" si="29"/>
        <v>0.15617436898147463</v>
      </c>
    </row>
    <row r="37" spans="9:16" hidden="1" x14ac:dyDescent="0.35">
      <c r="I37">
        <v>2047</v>
      </c>
      <c r="K37" s="2">
        <f t="shared" si="25"/>
        <v>571.0331972631194</v>
      </c>
      <c r="L37" s="5">
        <f t="shared" si="15"/>
        <v>0.05</v>
      </c>
      <c r="M37" s="2">
        <f t="shared" si="26"/>
        <v>393.17824734307038</v>
      </c>
      <c r="N37" s="3">
        <f t="shared" si="27"/>
        <v>1.4523519577237967</v>
      </c>
      <c r="O37" s="4">
        <f t="shared" si="28"/>
        <v>3534.5028826069829</v>
      </c>
      <c r="P37" s="3">
        <f t="shared" si="29"/>
        <v>0.16155969204980136</v>
      </c>
    </row>
    <row r="38" spans="9:16" hidden="1" x14ac:dyDescent="0.35">
      <c r="I38">
        <v>2048</v>
      </c>
      <c r="K38" s="2">
        <f t="shared" si="25"/>
        <v>599.58485712627544</v>
      </c>
      <c r="L38" s="5">
        <f t="shared" si="15"/>
        <v>0.05</v>
      </c>
      <c r="M38" s="2">
        <f t="shared" si="26"/>
        <v>399.0759210532164</v>
      </c>
      <c r="N38" s="3">
        <f t="shared" si="27"/>
        <v>1.5024330597142725</v>
      </c>
      <c r="O38" s="4">
        <f t="shared" si="28"/>
        <v>3587.5204258460872</v>
      </c>
      <c r="P38" s="3">
        <f t="shared" si="29"/>
        <v>0.16713071591358766</v>
      </c>
    </row>
    <row r="39" spans="9:16" hidden="1" x14ac:dyDescent="0.35">
      <c r="I39">
        <v>2049</v>
      </c>
      <c r="K39" s="2">
        <f t="shared" si="25"/>
        <v>629.56409998258925</v>
      </c>
      <c r="L39" s="5">
        <f t="shared" si="15"/>
        <v>0.05</v>
      </c>
      <c r="M39" s="2">
        <f t="shared" si="26"/>
        <v>405.0620598690146</v>
      </c>
      <c r="N39" s="3">
        <f t="shared" si="27"/>
        <v>1.5542410962561444</v>
      </c>
      <c r="O39" s="4">
        <f t="shared" si="28"/>
        <v>3641.3332322337783</v>
      </c>
      <c r="P39" s="3">
        <f t="shared" si="29"/>
        <v>0.172893844048539</v>
      </c>
    </row>
    <row r="40" spans="9:16" hidden="1" x14ac:dyDescent="0.35">
      <c r="I40">
        <v>2050</v>
      </c>
      <c r="K40" s="2">
        <f t="shared" si="25"/>
        <v>661.04230498171876</v>
      </c>
      <c r="L40" s="5">
        <f t="shared" si="15"/>
        <v>0.05</v>
      </c>
      <c r="M40" s="2">
        <f t="shared" si="26"/>
        <v>411.13799076704976</v>
      </c>
      <c r="N40" s="3">
        <f t="shared" si="27"/>
        <v>1.6078356168167014</v>
      </c>
      <c r="O40" s="4">
        <f t="shared" si="28"/>
        <v>3695.9532307172844</v>
      </c>
      <c r="P40" s="3">
        <f t="shared" si="29"/>
        <v>0.17885570073986795</v>
      </c>
    </row>
  </sheetData>
  <hyperlinks>
    <hyperlink ref="A16" r:id="rId1" xr:uid="{05F31212-57C5-40EA-B3D5-1EE409C269C4}"/>
  </hyperlinks>
  <pageMargins left="0.7" right="0.7" top="0.75" bottom="0.75" header="0.3" footer="0.3"/>
  <pageSetup orientation="portrait" horizontalDpi="360" verticalDpi="36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68AB5-2F89-4425-9715-CE439B6C3673}">
  <dimension ref="A1:W40"/>
  <sheetViews>
    <sheetView zoomScaleNormal="100" workbookViewId="0">
      <selection activeCell="R2" sqref="R2"/>
    </sheetView>
  </sheetViews>
  <sheetFormatPr defaultRowHeight="14.5" x14ac:dyDescent="0.35"/>
  <cols>
    <col min="1" max="1" width="12.81640625" customWidth="1"/>
    <col min="2" max="3" width="9.08984375" bestFit="1" customWidth="1"/>
    <col min="4" max="7" width="8.81640625" bestFit="1" customWidth="1"/>
    <col min="8" max="8" width="9.08984375" bestFit="1" customWidth="1"/>
    <col min="9" max="10" width="9.08984375" customWidth="1"/>
    <col min="11" max="11" width="19.453125" customWidth="1"/>
    <col min="12" max="12" width="13.08984375" customWidth="1"/>
    <col min="13" max="13" width="12" style="30" bestFit="1" customWidth="1"/>
    <col min="17" max="17" width="8.7265625" style="30"/>
    <col min="18" max="18" width="12.26953125" bestFit="1" customWidth="1"/>
    <col min="19" max="19" width="12.6328125" bestFit="1" customWidth="1"/>
    <col min="20" max="20" width="11.26953125" bestFit="1" customWidth="1"/>
    <col min="21" max="21" width="6" customWidth="1"/>
    <col min="22" max="22" width="9.36328125" customWidth="1"/>
    <col min="23" max="23" width="9.36328125" bestFit="1" customWidth="1"/>
  </cols>
  <sheetData>
    <row r="1" spans="1:23" x14ac:dyDescent="0.35">
      <c r="A1" s="12"/>
      <c r="B1" s="13" t="s">
        <v>13</v>
      </c>
      <c r="C1" s="13"/>
      <c r="D1" s="13"/>
      <c r="E1" s="13"/>
      <c r="F1" s="13"/>
      <c r="G1" s="13"/>
      <c r="H1" s="13"/>
      <c r="I1" s="14"/>
      <c r="J1" s="33"/>
      <c r="K1" s="28" t="s">
        <v>17</v>
      </c>
      <c r="L1" s="30"/>
      <c r="N1" s="30"/>
      <c r="R1">
        <f>(2.4/130)*(Sheet2!B22+Sheet2!D22+Sheet2!F22)/1000</f>
        <v>263.03063999999995</v>
      </c>
      <c r="T1" s="50">
        <f>AVERAGE(Sheet2!C4:C22,Sheet2!G4:G22)</f>
        <v>1.4535920948430382E-2</v>
      </c>
      <c r="U1" s="50"/>
    </row>
    <row r="2" spans="1:23" x14ac:dyDescent="0.35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7" t="s">
        <v>11</v>
      </c>
      <c r="J2" s="16"/>
      <c r="K2" s="8" t="s">
        <v>46</v>
      </c>
      <c r="L2" s="8" t="s">
        <v>11</v>
      </c>
      <c r="M2" s="8" t="s">
        <v>42</v>
      </c>
      <c r="N2" s="36" t="s">
        <v>39</v>
      </c>
      <c r="O2" s="36" t="s">
        <v>36</v>
      </c>
      <c r="P2" s="36" t="s">
        <v>37</v>
      </c>
      <c r="Q2" s="36" t="s">
        <v>38</v>
      </c>
      <c r="R2" s="51" t="s">
        <v>47</v>
      </c>
      <c r="S2" s="8" t="s">
        <v>40</v>
      </c>
      <c r="T2" s="51" t="s">
        <v>45</v>
      </c>
    </row>
    <row r="3" spans="1:23" x14ac:dyDescent="0.35">
      <c r="A3" s="15">
        <v>2021</v>
      </c>
      <c r="B3" s="18">
        <v>3</v>
      </c>
      <c r="C3" s="18">
        <v>18.399999999999999</v>
      </c>
      <c r="D3" s="18">
        <v>17.8</v>
      </c>
      <c r="E3" s="18">
        <v>2.9</v>
      </c>
      <c r="F3" s="18">
        <v>1.9</v>
      </c>
      <c r="G3" s="18">
        <v>6</v>
      </c>
      <c r="H3" s="18">
        <f>SUM(B3:G3)</f>
        <v>50</v>
      </c>
      <c r="I3" s="19"/>
      <c r="J3">
        <v>2021</v>
      </c>
      <c r="K3" s="11">
        <v>22</v>
      </c>
      <c r="L3" s="5" t="s">
        <v>14</v>
      </c>
      <c r="M3" s="5"/>
      <c r="N3" s="48">
        <f>K3</f>
        <v>22</v>
      </c>
      <c r="O3" s="10">
        <v>2400</v>
      </c>
      <c r="P3" s="3">
        <f t="shared" ref="P3:P32" si="0">K3/O3</f>
        <v>9.1666666666666667E-3</v>
      </c>
      <c r="Q3" s="5">
        <f t="shared" ref="Q3:Q32" si="1">N3/O3</f>
        <v>9.1666666666666667E-3</v>
      </c>
      <c r="R3" s="11">
        <f>R1</f>
        <v>263.03063999999995</v>
      </c>
      <c r="S3" s="3">
        <f t="shared" ref="S3:S32" si="2">K3/R3</f>
        <v>8.3640445843115474E-2</v>
      </c>
      <c r="T3" s="49">
        <f t="shared" ref="T3:T32" si="3">T$1*((2100-J3)/(2100-J$4))</f>
        <v>1.4722278909307693E-2</v>
      </c>
      <c r="U3" s="49"/>
      <c r="V3" s="30" t="s">
        <v>33</v>
      </c>
      <c r="W3" s="30" t="s">
        <v>43</v>
      </c>
    </row>
    <row r="4" spans="1:23" x14ac:dyDescent="0.35">
      <c r="A4" s="15">
        <v>2022</v>
      </c>
      <c r="B4" s="18">
        <v>3.5</v>
      </c>
      <c r="C4" s="18">
        <v>21.1</v>
      </c>
      <c r="D4" s="18">
        <v>22.2</v>
      </c>
      <c r="E4" s="18">
        <v>3.9</v>
      </c>
      <c r="F4" s="18">
        <v>2.2999999999999998</v>
      </c>
      <c r="G4" s="18">
        <v>6.2</v>
      </c>
      <c r="H4" s="18">
        <f t="shared" ref="H4:H13" si="4">SUM(B4:G4)</f>
        <v>59.199999999999996</v>
      </c>
      <c r="I4" s="34">
        <f>(H4/H3)-1</f>
        <v>0.18399999999999994</v>
      </c>
      <c r="J4">
        <v>2022</v>
      </c>
      <c r="K4" s="2">
        <f>K3*(1+L4)</f>
        <v>27.5</v>
      </c>
      <c r="L4" s="38">
        <v>0.25</v>
      </c>
      <c r="M4" s="5">
        <f>(K4/K$3)-1</f>
        <v>0.25</v>
      </c>
      <c r="N4" s="4">
        <f t="shared" ref="N4:N32" si="5">K4+N3</f>
        <v>49.5</v>
      </c>
      <c r="O4" s="4">
        <f>O3*(1+T4)</f>
        <v>2434.8862102762328</v>
      </c>
      <c r="P4" s="3">
        <f t="shared" si="0"/>
        <v>1.1294162283205908E-2</v>
      </c>
      <c r="Q4" s="5">
        <f t="shared" si="1"/>
        <v>2.0329492109770635E-2</v>
      </c>
      <c r="R4" s="2">
        <f>R3*(1+T4)</f>
        <v>266.854032590055</v>
      </c>
      <c r="S4" s="3">
        <f t="shared" si="2"/>
        <v>0.10305259295910996</v>
      </c>
      <c r="T4" s="49">
        <f t="shared" si="3"/>
        <v>1.4535920948430382E-2</v>
      </c>
      <c r="U4" s="49"/>
      <c r="V4" s="30" t="s">
        <v>44</v>
      </c>
      <c r="W4" s="30" t="s">
        <v>44</v>
      </c>
    </row>
    <row r="5" spans="1:23" x14ac:dyDescent="0.35">
      <c r="A5" s="15">
        <v>2023</v>
      </c>
      <c r="B5" s="18">
        <v>4</v>
      </c>
      <c r="C5" s="18">
        <v>24.3</v>
      </c>
      <c r="D5" s="18">
        <v>22.9</v>
      </c>
      <c r="E5" s="18">
        <v>5.0999999999999996</v>
      </c>
      <c r="F5" s="18">
        <v>2.7</v>
      </c>
      <c r="G5" s="18">
        <v>6.9</v>
      </c>
      <c r="H5" s="18">
        <f t="shared" si="4"/>
        <v>65.900000000000006</v>
      </c>
      <c r="I5" s="34">
        <f t="shared" ref="I5:I12" si="6">(H5/H4)-1</f>
        <v>0.11317567567567588</v>
      </c>
      <c r="J5">
        <v>2023</v>
      </c>
      <c r="K5" s="2">
        <f t="shared" ref="K5:K32" si="7">IF(S4&lt;W5,K4*(1+L4-0.002),R5)</f>
        <v>34.32</v>
      </c>
      <c r="L5" s="3">
        <f>K5/K4-1</f>
        <v>0.248</v>
      </c>
      <c r="M5" s="5">
        <f t="shared" ref="M5:M32" si="8">(K5/K$3)-1</f>
        <v>0.56000000000000005</v>
      </c>
      <c r="N5" s="4">
        <f t="shared" si="5"/>
        <v>83.82</v>
      </c>
      <c r="O5" s="4">
        <f t="shared" ref="O5:O32" si="9">O4*(1+T5)</f>
        <v>2469.8257633181156</v>
      </c>
      <c r="P5" s="3">
        <f t="shared" si="0"/>
        <v>1.3895717062199726E-2</v>
      </c>
      <c r="Q5" s="5">
        <f t="shared" si="1"/>
        <v>3.3937616671141632E-2</v>
      </c>
      <c r="R5" s="2">
        <f t="shared" ref="R5:R32" si="10">R4*(1+T5)</f>
        <v>270.68327133918848</v>
      </c>
      <c r="S5" s="3">
        <f t="shared" si="2"/>
        <v>0.12679025131550967</v>
      </c>
      <c r="T5" s="49">
        <f t="shared" si="3"/>
        <v>1.434956298755307E-2</v>
      </c>
      <c r="U5" s="49"/>
      <c r="V5" s="3">
        <f t="shared" ref="V5:V32" si="11">1-(N4/O4)</f>
        <v>0.97967050789022936</v>
      </c>
      <c r="W5" s="3">
        <f t="shared" ref="W5:W32" si="12">1-(100/(2050-J4)/40)</f>
        <v>0.9107142857142857</v>
      </c>
    </row>
    <row r="6" spans="1:23" x14ac:dyDescent="0.35">
      <c r="A6" s="15">
        <v>2024</v>
      </c>
      <c r="B6" s="18">
        <v>4.5999999999999996</v>
      </c>
      <c r="C6" s="18">
        <v>28</v>
      </c>
      <c r="D6" s="18">
        <v>23.5</v>
      </c>
      <c r="E6" s="18">
        <v>5.6</v>
      </c>
      <c r="F6" s="18">
        <v>3.3</v>
      </c>
      <c r="G6" s="18">
        <v>7.5</v>
      </c>
      <c r="H6" s="18">
        <f t="shared" si="4"/>
        <v>72.5</v>
      </c>
      <c r="I6" s="34">
        <f t="shared" si="6"/>
        <v>0.10015174506828517</v>
      </c>
      <c r="J6">
        <v>2024</v>
      </c>
      <c r="K6" s="2">
        <f t="shared" si="7"/>
        <v>42.762720000000002</v>
      </c>
      <c r="L6" s="3">
        <f t="shared" ref="L6:L32" si="13">K6/K5-1</f>
        <v>0.246</v>
      </c>
      <c r="M6" s="5">
        <f t="shared" si="8"/>
        <v>0.94376000000000015</v>
      </c>
      <c r="N6" s="4">
        <f t="shared" si="5"/>
        <v>126.58271999999999</v>
      </c>
      <c r="O6" s="4">
        <f t="shared" si="9"/>
        <v>2504.8064119841561</v>
      </c>
      <c r="P6" s="3">
        <f t="shared" si="0"/>
        <v>1.7072265463471872E-2</v>
      </c>
      <c r="Q6" s="5">
        <f t="shared" si="1"/>
        <v>5.0535929401318014E-2</v>
      </c>
      <c r="R6" s="2">
        <f t="shared" si="10"/>
        <v>274.51701400845673</v>
      </c>
      <c r="S6" s="3">
        <f t="shared" si="2"/>
        <v>0.15577438853637923</v>
      </c>
      <c r="T6" s="49">
        <f t="shared" si="3"/>
        <v>1.4163205026675757E-2</v>
      </c>
      <c r="U6" s="49"/>
      <c r="V6" s="3">
        <f t="shared" si="11"/>
        <v>0.96606238332885841</v>
      </c>
      <c r="W6" s="3">
        <f t="shared" si="12"/>
        <v>0.90740740740740744</v>
      </c>
    </row>
    <row r="7" spans="1:23" x14ac:dyDescent="0.35">
      <c r="A7" s="15">
        <v>2025</v>
      </c>
      <c r="B7" s="18">
        <v>5.2</v>
      </c>
      <c r="C7" s="18">
        <v>32.1</v>
      </c>
      <c r="D7" s="18">
        <v>24.3</v>
      </c>
      <c r="E7" s="18">
        <v>6.2</v>
      </c>
      <c r="F7" s="18">
        <v>3.9</v>
      </c>
      <c r="G7" s="18">
        <v>8</v>
      </c>
      <c r="H7" s="18">
        <f t="shared" si="4"/>
        <v>79.700000000000017</v>
      </c>
      <c r="I7" s="34">
        <f t="shared" si="6"/>
        <v>9.9310344827586494E-2</v>
      </c>
      <c r="J7">
        <v>2025</v>
      </c>
      <c r="K7" s="2">
        <f t="shared" si="7"/>
        <v>53.196823680000001</v>
      </c>
      <c r="L7" s="3">
        <f t="shared" si="13"/>
        <v>0.24399999999999999</v>
      </c>
      <c r="M7" s="5">
        <f t="shared" si="8"/>
        <v>1.41803744</v>
      </c>
      <c r="N7" s="4">
        <f t="shared" si="5"/>
        <v>179.77954367999999</v>
      </c>
      <c r="O7" s="4">
        <f t="shared" si="9"/>
        <v>2539.81570813389</v>
      </c>
      <c r="P7" s="3">
        <f t="shared" si="0"/>
        <v>2.0945151063376154E-2</v>
      </c>
      <c r="Q7" s="5">
        <f t="shared" si="1"/>
        <v>7.0784483734094086E-2</v>
      </c>
      <c r="R7" s="2">
        <f t="shared" si="10"/>
        <v>278.35389633021254</v>
      </c>
      <c r="S7" s="3">
        <f t="shared" si="2"/>
        <v>0.19111219343914754</v>
      </c>
      <c r="T7" s="49">
        <f t="shared" si="3"/>
        <v>1.3976847065798444E-2</v>
      </c>
      <c r="U7" s="49"/>
      <c r="V7" s="3">
        <f t="shared" si="11"/>
        <v>0.94946407059868199</v>
      </c>
      <c r="W7" s="3">
        <f t="shared" si="12"/>
        <v>0.90384615384615385</v>
      </c>
    </row>
    <row r="8" spans="1:23" x14ac:dyDescent="0.35">
      <c r="A8" s="15">
        <v>2026</v>
      </c>
      <c r="B8" s="18">
        <v>6.1</v>
      </c>
      <c r="C8" s="18">
        <v>37</v>
      </c>
      <c r="D8" s="18">
        <v>25</v>
      </c>
      <c r="E8" s="18">
        <v>6.8</v>
      </c>
      <c r="F8" s="18">
        <v>4.7</v>
      </c>
      <c r="G8" s="18">
        <v>8.5</v>
      </c>
      <c r="H8" s="18">
        <f t="shared" si="4"/>
        <v>88.1</v>
      </c>
      <c r="I8" s="34">
        <f t="shared" si="6"/>
        <v>0.10539523212045143</v>
      </c>
      <c r="J8">
        <v>2026</v>
      </c>
      <c r="K8" s="2">
        <f t="shared" si="7"/>
        <v>66.070455010559996</v>
      </c>
      <c r="L8" s="3">
        <f t="shared" si="13"/>
        <v>0.24199999999999999</v>
      </c>
      <c r="M8" s="5">
        <f t="shared" si="8"/>
        <v>2.00320250048</v>
      </c>
      <c r="N8" s="4">
        <f t="shared" si="5"/>
        <v>245.84999869055997</v>
      </c>
      <c r="O8" s="4">
        <f t="shared" si="9"/>
        <v>2574.8410089854183</v>
      </c>
      <c r="P8" s="3">
        <f t="shared" si="0"/>
        <v>2.5660013484325457E-2</v>
      </c>
      <c r="Q8" s="5">
        <f t="shared" si="1"/>
        <v>9.548162307211111E-2</v>
      </c>
      <c r="R8" s="2">
        <f t="shared" si="10"/>
        <v>282.19253270486672</v>
      </c>
      <c r="S8" s="3">
        <f t="shared" si="2"/>
        <v>0.23413254198210942</v>
      </c>
      <c r="T8" s="49">
        <f t="shared" si="3"/>
        <v>1.379048910492113E-2</v>
      </c>
      <c r="U8" s="49"/>
      <c r="V8" s="3">
        <f t="shared" si="11"/>
        <v>0.92921551626590593</v>
      </c>
      <c r="W8" s="3">
        <f t="shared" si="12"/>
        <v>0.9</v>
      </c>
    </row>
    <row r="9" spans="1:23" x14ac:dyDescent="0.35">
      <c r="A9" s="15">
        <v>2027</v>
      </c>
      <c r="B9" s="18">
        <v>7</v>
      </c>
      <c r="C9" s="18">
        <v>42.5</v>
      </c>
      <c r="D9" s="18">
        <v>25.7</v>
      </c>
      <c r="E9" s="18">
        <v>7.5</v>
      </c>
      <c r="F9" s="18">
        <v>5.7</v>
      </c>
      <c r="G9" s="18">
        <v>9</v>
      </c>
      <c r="H9" s="18">
        <f t="shared" si="4"/>
        <v>97.4</v>
      </c>
      <c r="I9" s="34">
        <f t="shared" si="6"/>
        <v>0.105561861520999</v>
      </c>
      <c r="J9">
        <v>2027</v>
      </c>
      <c r="K9" s="2">
        <f t="shared" si="7"/>
        <v>81.927364213094393</v>
      </c>
      <c r="L9" s="3">
        <f t="shared" si="13"/>
        <v>0.24</v>
      </c>
      <c r="M9" s="5">
        <f t="shared" si="8"/>
        <v>2.7239711005951999</v>
      </c>
      <c r="N9" s="4">
        <f t="shared" si="5"/>
        <v>327.77736290365436</v>
      </c>
      <c r="O9" s="4">
        <f t="shared" si="9"/>
        <v>2609.8694837467178</v>
      </c>
      <c r="P9" s="3">
        <f t="shared" si="0"/>
        <v>3.1391364481368547E-2</v>
      </c>
      <c r="Q9" s="5">
        <f t="shared" si="1"/>
        <v>0.12559147687075084</v>
      </c>
      <c r="R9" s="2">
        <f t="shared" si="10"/>
        <v>286.03151692765357</v>
      </c>
      <c r="S9" s="3">
        <f t="shared" si="2"/>
        <v>0.2864277513649533</v>
      </c>
      <c r="T9" s="49">
        <f t="shared" si="3"/>
        <v>1.3604131144043819E-2</v>
      </c>
      <c r="U9" s="49"/>
      <c r="V9" s="3">
        <f t="shared" si="11"/>
        <v>0.90451837692788883</v>
      </c>
      <c r="W9" s="3">
        <f t="shared" si="12"/>
        <v>0.89583333333333337</v>
      </c>
    </row>
    <row r="10" spans="1:23" x14ac:dyDescent="0.35">
      <c r="A10" s="15">
        <v>2028</v>
      </c>
      <c r="B10" s="18">
        <v>8</v>
      </c>
      <c r="C10" s="18">
        <v>48.9</v>
      </c>
      <c r="D10" s="18">
        <v>26.5</v>
      </c>
      <c r="E10" s="18">
        <v>8.1999999999999993</v>
      </c>
      <c r="F10" s="18">
        <v>6.8</v>
      </c>
      <c r="G10" s="18">
        <v>9.5</v>
      </c>
      <c r="H10" s="18">
        <f t="shared" si="4"/>
        <v>107.9</v>
      </c>
      <c r="I10" s="34">
        <f t="shared" si="6"/>
        <v>0.10780287474332639</v>
      </c>
      <c r="J10">
        <v>2028</v>
      </c>
      <c r="K10" s="2">
        <f t="shared" si="7"/>
        <v>101.42607689581085</v>
      </c>
      <c r="L10" s="3">
        <f t="shared" si="13"/>
        <v>0.23799999999999999</v>
      </c>
      <c r="M10" s="5">
        <f t="shared" si="8"/>
        <v>3.6102762225368572</v>
      </c>
      <c r="N10" s="4">
        <f t="shared" si="5"/>
        <v>429.20343979946523</v>
      </c>
      <c r="O10" s="4">
        <f t="shared" si="9"/>
        <v>2644.8881205172993</v>
      </c>
      <c r="P10" s="3">
        <f t="shared" si="0"/>
        <v>3.8347964932434829E-2</v>
      </c>
      <c r="Q10" s="5">
        <f t="shared" si="1"/>
        <v>0.16227659554670298</v>
      </c>
      <c r="R10" s="2">
        <f t="shared" si="10"/>
        <v>289.86942294502592</v>
      </c>
      <c r="S10" s="3">
        <f t="shared" si="2"/>
        <v>0.34990264190454617</v>
      </c>
      <c r="T10" s="49">
        <f t="shared" si="3"/>
        <v>1.3417773183166507E-2</v>
      </c>
      <c r="U10" s="49"/>
      <c r="V10" s="3">
        <f t="shared" si="11"/>
        <v>0.8744085231292491</v>
      </c>
      <c r="W10" s="3">
        <f t="shared" si="12"/>
        <v>0.89130434782608692</v>
      </c>
    </row>
    <row r="11" spans="1:23" x14ac:dyDescent="0.35">
      <c r="A11" s="15">
        <v>2029</v>
      </c>
      <c r="B11" s="18">
        <v>9.1999999999999993</v>
      </c>
      <c r="C11" s="18">
        <v>56.2</v>
      </c>
      <c r="D11" s="18">
        <v>27.3</v>
      </c>
      <c r="E11" s="18">
        <v>9.1</v>
      </c>
      <c r="F11" s="18">
        <v>8.1999999999999993</v>
      </c>
      <c r="G11" s="18">
        <v>10</v>
      </c>
      <c r="H11" s="18">
        <f t="shared" si="4"/>
        <v>120</v>
      </c>
      <c r="I11" s="34">
        <f t="shared" si="6"/>
        <v>0.11214087117701577</v>
      </c>
      <c r="J11">
        <v>2029</v>
      </c>
      <c r="K11" s="2">
        <f t="shared" si="7"/>
        <v>125.36263104322221</v>
      </c>
      <c r="L11" s="3">
        <f t="shared" si="13"/>
        <v>0.23599999999999999</v>
      </c>
      <c r="M11" s="5">
        <f t="shared" si="8"/>
        <v>4.6983014110555548</v>
      </c>
      <c r="N11" s="4">
        <f t="shared" si="5"/>
        <v>554.5660708426874</v>
      </c>
      <c r="O11" s="4">
        <f t="shared" si="9"/>
        <v>2679.8837334563636</v>
      </c>
      <c r="P11" s="3">
        <f t="shared" si="0"/>
        <v>4.6779130556360564E-2</v>
      </c>
      <c r="Q11" s="5">
        <f t="shared" si="1"/>
        <v>0.20693661591334755</v>
      </c>
      <c r="R11" s="2">
        <f t="shared" si="10"/>
        <v>293.70480564025695</v>
      </c>
      <c r="S11" s="3">
        <f t="shared" si="2"/>
        <v>0.42683207300588771</v>
      </c>
      <c r="T11" s="49">
        <f t="shared" si="3"/>
        <v>1.3231415222289194E-2</v>
      </c>
      <c r="U11" s="49"/>
      <c r="V11" s="3">
        <f t="shared" si="11"/>
        <v>0.83772340445329707</v>
      </c>
      <c r="W11" s="3">
        <f t="shared" si="12"/>
        <v>0.88636363636363635</v>
      </c>
    </row>
    <row r="12" spans="1:23" x14ac:dyDescent="0.35">
      <c r="A12" s="15">
        <v>2030</v>
      </c>
      <c r="B12" s="18">
        <v>10.6</v>
      </c>
      <c r="C12" s="18">
        <v>64.7</v>
      </c>
      <c r="D12" s="18">
        <v>28.1</v>
      </c>
      <c r="E12" s="18">
        <v>10</v>
      </c>
      <c r="F12" s="18">
        <v>9.8000000000000007</v>
      </c>
      <c r="G12" s="18">
        <v>10.5</v>
      </c>
      <c r="H12" s="18">
        <f t="shared" si="4"/>
        <v>133.69999999999999</v>
      </c>
      <c r="I12" s="34">
        <f t="shared" si="6"/>
        <v>0.11416666666666653</v>
      </c>
      <c r="J12" s="44">
        <v>2030</v>
      </c>
      <c r="K12" s="2">
        <f t="shared" si="7"/>
        <v>154.6974867073362</v>
      </c>
      <c r="L12" s="3">
        <f t="shared" si="13"/>
        <v>0.23399999999999999</v>
      </c>
      <c r="M12" s="46">
        <f t="shared" si="8"/>
        <v>6.0317039412425544</v>
      </c>
      <c r="N12" s="47">
        <f t="shared" si="5"/>
        <v>709.26355755002362</v>
      </c>
      <c r="O12" s="4">
        <f t="shared" si="9"/>
        <v>2714.842970213228</v>
      </c>
      <c r="P12" s="3">
        <f t="shared" si="0"/>
        <v>5.6982112190152201E-2</v>
      </c>
      <c r="Q12" s="46">
        <f t="shared" si="1"/>
        <v>0.26125398976365727</v>
      </c>
      <c r="R12" s="2">
        <f t="shared" si="10"/>
        <v>297.5362016477859</v>
      </c>
      <c r="S12" s="3">
        <f t="shared" si="2"/>
        <v>0.51992828385455514</v>
      </c>
      <c r="T12" s="49">
        <f t="shared" si="3"/>
        <v>1.3045057261411882E-2</v>
      </c>
      <c r="U12" s="49"/>
      <c r="V12" s="3">
        <f t="shared" si="11"/>
        <v>0.79306338408665245</v>
      </c>
      <c r="W12" s="3">
        <f t="shared" si="12"/>
        <v>0.88095238095238093</v>
      </c>
    </row>
    <row r="13" spans="1:23" x14ac:dyDescent="0.35">
      <c r="A13" s="20" t="s">
        <v>12</v>
      </c>
      <c r="B13" s="18">
        <f>SUM(B3:B12)</f>
        <v>61.199999999999996</v>
      </c>
      <c r="C13" s="18">
        <f t="shared" ref="C13:G13" si="14">SUM(C3:C12)</f>
        <v>373.2</v>
      </c>
      <c r="D13" s="18">
        <f t="shared" si="14"/>
        <v>243.29999999999998</v>
      </c>
      <c r="E13" s="18">
        <f t="shared" si="14"/>
        <v>65.300000000000011</v>
      </c>
      <c r="F13" s="18">
        <f t="shared" si="14"/>
        <v>49.3</v>
      </c>
      <c r="G13" s="18">
        <f t="shared" si="14"/>
        <v>82.1</v>
      </c>
      <c r="H13" s="18">
        <f t="shared" si="4"/>
        <v>874.4</v>
      </c>
      <c r="I13" s="34">
        <f>(H12/H3)-1</f>
        <v>1.6739999999999999</v>
      </c>
      <c r="J13">
        <v>2031</v>
      </c>
      <c r="K13" s="2">
        <f t="shared" si="7"/>
        <v>190.5873036234382</v>
      </c>
      <c r="L13" s="3">
        <f t="shared" si="13"/>
        <v>0.23199999999999998</v>
      </c>
      <c r="M13" s="45">
        <f t="shared" si="8"/>
        <v>7.6630592556108272</v>
      </c>
      <c r="N13" s="4">
        <f t="shared" si="5"/>
        <v>899.85086117346179</v>
      </c>
      <c r="O13" s="4">
        <f t="shared" si="9"/>
        <v>2749.7523196153702</v>
      </c>
      <c r="P13" s="3">
        <f t="shared" si="0"/>
        <v>6.9310716555772256E-2</v>
      </c>
      <c r="Q13" s="5">
        <f t="shared" si="1"/>
        <v>0.32724796875499357</v>
      </c>
      <c r="R13" s="2">
        <f t="shared" si="10"/>
        <v>301.36213019579799</v>
      </c>
      <c r="S13" s="3">
        <f t="shared" si="2"/>
        <v>0.63241955284697426</v>
      </c>
      <c r="T13" s="49">
        <f t="shared" si="3"/>
        <v>1.2858699300534569E-2</v>
      </c>
      <c r="U13" s="49"/>
      <c r="V13" s="3">
        <f t="shared" si="11"/>
        <v>0.73874601023634279</v>
      </c>
      <c r="W13" s="3">
        <f t="shared" si="12"/>
        <v>0.875</v>
      </c>
    </row>
    <row r="14" spans="1:23" x14ac:dyDescent="0.35">
      <c r="A14" s="20" t="s">
        <v>41</v>
      </c>
      <c r="B14" s="21">
        <v>4.2000000000000003E-2</v>
      </c>
      <c r="C14" s="21">
        <v>0.13100000000000001</v>
      </c>
      <c r="D14" s="21">
        <v>0.40200000000000002</v>
      </c>
      <c r="E14" s="21">
        <v>0.109</v>
      </c>
      <c r="F14" s="21">
        <v>0.11</v>
      </c>
      <c r="G14" s="21">
        <v>0.29499999999999998</v>
      </c>
      <c r="H14" s="21">
        <v>0.14000000000000001</v>
      </c>
      <c r="I14" s="22"/>
      <c r="J14">
        <v>2032</v>
      </c>
      <c r="K14" s="2">
        <f t="shared" si="7"/>
        <v>234.42238345682898</v>
      </c>
      <c r="L14" s="3">
        <f t="shared" si="13"/>
        <v>0.22999999999999998</v>
      </c>
      <c r="M14" s="45">
        <f t="shared" si="8"/>
        <v>9.6555628844013182</v>
      </c>
      <c r="N14" s="4">
        <f t="shared" si="5"/>
        <v>1134.2732446302907</v>
      </c>
      <c r="O14" s="4">
        <f t="shared" si="9"/>
        <v>2784.5981196090502</v>
      </c>
      <c r="P14" s="3">
        <f t="shared" si="0"/>
        <v>8.4185355799113029E-2</v>
      </c>
      <c r="Q14" s="5">
        <f t="shared" si="1"/>
        <v>0.40733822113962337</v>
      </c>
      <c r="R14" s="2">
        <f t="shared" si="10"/>
        <v>305.18109397648539</v>
      </c>
      <c r="S14" s="3">
        <f t="shared" si="2"/>
        <v>0.76814189372717678</v>
      </c>
      <c r="T14" s="49">
        <f t="shared" si="3"/>
        <v>1.2672341339657256E-2</v>
      </c>
      <c r="U14" s="49"/>
      <c r="V14" s="3">
        <f t="shared" si="11"/>
        <v>0.67275203124500638</v>
      </c>
      <c r="W14" s="3">
        <f t="shared" si="12"/>
        <v>0.86842105263157898</v>
      </c>
    </row>
    <row r="15" spans="1:23" x14ac:dyDescent="0.35">
      <c r="A15" s="23" t="s">
        <v>9</v>
      </c>
      <c r="B15" s="24">
        <f>B13/B14</f>
        <v>1457.1428571428569</v>
      </c>
      <c r="C15" s="24">
        <f t="shared" ref="C15:H15" si="15">C13/C14</f>
        <v>2848.8549618320608</v>
      </c>
      <c r="D15" s="24">
        <f t="shared" si="15"/>
        <v>605.22388059701484</v>
      </c>
      <c r="E15" s="24">
        <f t="shared" si="15"/>
        <v>599.08256880733961</v>
      </c>
      <c r="F15" s="24">
        <f t="shared" si="15"/>
        <v>448.18181818181813</v>
      </c>
      <c r="G15" s="24">
        <f t="shared" si="15"/>
        <v>278.30508474576271</v>
      </c>
      <c r="H15" s="24">
        <f t="shared" si="15"/>
        <v>6245.7142857142853</v>
      </c>
      <c r="I15" s="25"/>
      <c r="J15">
        <v>2033</v>
      </c>
      <c r="K15" s="2">
        <f t="shared" si="7"/>
        <v>287.87068688498596</v>
      </c>
      <c r="L15" s="3">
        <f t="shared" si="13"/>
        <v>0.22799999999999976</v>
      </c>
      <c r="M15" s="45">
        <f t="shared" si="8"/>
        <v>12.085031222044817</v>
      </c>
      <c r="N15" s="4">
        <f t="shared" si="5"/>
        <v>1422.1439315152766</v>
      </c>
      <c r="O15" s="4">
        <f t="shared" si="9"/>
        <v>2819.366565447071</v>
      </c>
      <c r="P15" s="3">
        <f t="shared" si="0"/>
        <v>0.10210473884914567</v>
      </c>
      <c r="Q15" s="5">
        <f t="shared" si="1"/>
        <v>0.50441966253854797</v>
      </c>
      <c r="R15" s="2">
        <f t="shared" si="10"/>
        <v>308.9915800433937</v>
      </c>
      <c r="S15" s="3">
        <f t="shared" si="2"/>
        <v>0.9316457323677183</v>
      </c>
      <c r="T15" s="49">
        <f t="shared" si="3"/>
        <v>1.2485983378779942E-2</v>
      </c>
      <c r="U15" s="49"/>
      <c r="V15" s="3">
        <f t="shared" si="11"/>
        <v>0.59266177886037663</v>
      </c>
      <c r="W15" s="3">
        <f t="shared" si="12"/>
        <v>0.86111111111111116</v>
      </c>
    </row>
    <row r="16" spans="1:23" x14ac:dyDescent="0.35">
      <c r="A16" s="32" t="s">
        <v>26</v>
      </c>
      <c r="J16">
        <v>2034</v>
      </c>
      <c r="K16" s="2">
        <f t="shared" si="7"/>
        <v>312.79206073521334</v>
      </c>
      <c r="L16" s="3">
        <f t="shared" si="13"/>
        <v>8.6571418993363292E-2</v>
      </c>
      <c r="M16" s="45">
        <f t="shared" si="8"/>
        <v>13.217820942509697</v>
      </c>
      <c r="N16" s="4">
        <f t="shared" si="5"/>
        <v>1734.93599225049</v>
      </c>
      <c r="O16" s="4">
        <f t="shared" si="9"/>
        <v>2854.0437181178286</v>
      </c>
      <c r="P16" s="3">
        <f t="shared" si="0"/>
        <v>0.1095961</v>
      </c>
      <c r="Q16" s="5">
        <f t="shared" si="1"/>
        <v>0.60788697147030302</v>
      </c>
      <c r="R16" s="2">
        <f t="shared" si="10"/>
        <v>312.79206073521334</v>
      </c>
      <c r="S16" s="3">
        <f t="shared" si="2"/>
        <v>1</v>
      </c>
      <c r="T16" s="49">
        <f t="shared" si="3"/>
        <v>1.2299625417902631E-2</v>
      </c>
      <c r="U16" s="49"/>
      <c r="V16" s="3">
        <f t="shared" si="11"/>
        <v>0.49558033746145203</v>
      </c>
      <c r="W16" s="3">
        <f t="shared" si="12"/>
        <v>0.8529411764705882</v>
      </c>
    </row>
    <row r="17" spans="10:23" x14ac:dyDescent="0.35">
      <c r="J17">
        <v>2035</v>
      </c>
      <c r="K17" s="2">
        <f t="shared" si="7"/>
        <v>316.58099462533306</v>
      </c>
      <c r="L17" s="3">
        <f t="shared" si="13"/>
        <v>1.2113267457025234E-2</v>
      </c>
      <c r="M17" s="45">
        <f t="shared" si="8"/>
        <v>13.390045210242413</v>
      </c>
      <c r="N17" s="4">
        <f t="shared" si="5"/>
        <v>2051.516986875823</v>
      </c>
      <c r="O17" s="4">
        <f t="shared" si="9"/>
        <v>2888.6155130094326</v>
      </c>
      <c r="P17" s="3">
        <f t="shared" si="0"/>
        <v>0.1095961</v>
      </c>
      <c r="Q17" s="5">
        <f t="shared" si="1"/>
        <v>0.71020770249153053</v>
      </c>
      <c r="R17" s="2">
        <f t="shared" si="10"/>
        <v>316.58099462533306</v>
      </c>
      <c r="S17" s="3">
        <f t="shared" si="2"/>
        <v>1</v>
      </c>
      <c r="T17" s="49">
        <f t="shared" si="3"/>
        <v>1.2113267457025319E-2</v>
      </c>
      <c r="U17" s="49"/>
      <c r="V17" s="3">
        <f t="shared" si="11"/>
        <v>0.39211302852969698</v>
      </c>
      <c r="W17" s="3">
        <f t="shared" si="12"/>
        <v>0.84375</v>
      </c>
    </row>
    <row r="18" spans="10:23" x14ac:dyDescent="0.35">
      <c r="J18">
        <v>2036</v>
      </c>
      <c r="K18" s="2">
        <f t="shared" si="7"/>
        <v>320.35682749642996</v>
      </c>
      <c r="L18" s="3">
        <f t="shared" si="13"/>
        <v>1.1926909496148053E-2</v>
      </c>
      <c r="M18" s="45">
        <f t="shared" si="8"/>
        <v>13.561673977110452</v>
      </c>
      <c r="N18" s="4">
        <f t="shared" si="5"/>
        <v>2371.873814372253</v>
      </c>
      <c r="O18" s="4">
        <f t="shared" si="9"/>
        <v>2923.0677688022652</v>
      </c>
      <c r="P18" s="3">
        <f t="shared" si="0"/>
        <v>0.1095961</v>
      </c>
      <c r="Q18" s="5">
        <f t="shared" si="1"/>
        <v>0.8114330566287673</v>
      </c>
      <c r="R18" s="2">
        <f t="shared" si="10"/>
        <v>320.35682749642996</v>
      </c>
      <c r="S18" s="3">
        <f t="shared" si="2"/>
        <v>1</v>
      </c>
      <c r="T18" s="49">
        <f t="shared" si="3"/>
        <v>1.1926909496148006E-2</v>
      </c>
      <c r="U18" s="49"/>
      <c r="V18" s="3">
        <f t="shared" si="11"/>
        <v>0.28979229750846947</v>
      </c>
      <c r="W18" s="3">
        <f t="shared" si="12"/>
        <v>0.83333333333333326</v>
      </c>
    </row>
    <row r="19" spans="10:23" x14ac:dyDescent="0.35">
      <c r="J19">
        <v>2037</v>
      </c>
      <c r="K19" s="2">
        <f t="shared" si="7"/>
        <v>324.1179933393276</v>
      </c>
      <c r="L19" s="3">
        <f t="shared" si="13"/>
        <v>1.1740551535270649E-2</v>
      </c>
      <c r="M19" s="45">
        <f t="shared" si="8"/>
        <v>13.732636060878527</v>
      </c>
      <c r="N19" s="4">
        <f t="shared" si="5"/>
        <v>2695.9918077115808</v>
      </c>
      <c r="O19" s="4">
        <f t="shared" si="9"/>
        <v>2957.3861965829769</v>
      </c>
      <c r="P19" s="3">
        <f t="shared" si="0"/>
        <v>0.1095961</v>
      </c>
      <c r="Q19" s="5">
        <f t="shared" si="1"/>
        <v>0.91161303546577166</v>
      </c>
      <c r="R19" s="2">
        <f t="shared" si="10"/>
        <v>324.1179933393276</v>
      </c>
      <c r="S19" s="3">
        <f t="shared" si="2"/>
        <v>1</v>
      </c>
      <c r="T19" s="49">
        <f t="shared" si="3"/>
        <v>1.1740551535270692E-2</v>
      </c>
      <c r="U19" s="49"/>
      <c r="V19" s="3">
        <f t="shared" si="11"/>
        <v>0.1885669433712327</v>
      </c>
      <c r="W19" s="3">
        <f t="shared" si="12"/>
        <v>0.8214285714285714</v>
      </c>
    </row>
    <row r="20" spans="10:23" x14ac:dyDescent="0.35">
      <c r="J20">
        <v>2038</v>
      </c>
      <c r="K20" s="2">
        <f t="shared" si="7"/>
        <v>327.86291537531417</v>
      </c>
      <c r="L20" s="3">
        <f t="shared" si="13"/>
        <v>1.1554193574393468E-2</v>
      </c>
      <c r="M20" s="45">
        <f t="shared" si="8"/>
        <v>13.902859789787009</v>
      </c>
      <c r="N20" s="4">
        <f t="shared" si="5"/>
        <v>3023.8547230868949</v>
      </c>
      <c r="O20" s="4">
        <f t="shared" si="9"/>
        <v>2991.556409172536</v>
      </c>
      <c r="P20" s="3">
        <f t="shared" si="0"/>
        <v>0.1095961</v>
      </c>
      <c r="Q20" s="5">
        <f t="shared" si="1"/>
        <v>1.0107964916908563</v>
      </c>
      <c r="R20" s="2">
        <f t="shared" si="10"/>
        <v>327.86291537531417</v>
      </c>
      <c r="S20" s="3">
        <f t="shared" si="2"/>
        <v>1</v>
      </c>
      <c r="T20" s="49">
        <f t="shared" si="3"/>
        <v>1.1554193574393379E-2</v>
      </c>
      <c r="U20" s="49"/>
      <c r="V20" s="3">
        <f t="shared" si="11"/>
        <v>8.8386964534228341E-2</v>
      </c>
      <c r="W20" s="3">
        <f t="shared" si="12"/>
        <v>0.80769230769230771</v>
      </c>
    </row>
    <row r="21" spans="10:23" x14ac:dyDescent="0.35">
      <c r="J21">
        <v>2039</v>
      </c>
      <c r="K21" s="2">
        <f t="shared" si="7"/>
        <v>331.59000710106886</v>
      </c>
      <c r="L21" s="3">
        <f t="shared" si="13"/>
        <v>1.1367835613516064E-2</v>
      </c>
      <c r="M21" s="45">
        <f t="shared" si="8"/>
        <v>14.072273050048585</v>
      </c>
      <c r="N21" s="4">
        <f t="shared" si="5"/>
        <v>3355.4447301879636</v>
      </c>
      <c r="O21" s="4">
        <f t="shared" si="9"/>
        <v>3025.5639306605699</v>
      </c>
      <c r="P21" s="3">
        <f t="shared" si="0"/>
        <v>0.10959609999999999</v>
      </c>
      <c r="Q21" s="5">
        <f t="shared" si="1"/>
        <v>1.1090311780175708</v>
      </c>
      <c r="R21" s="2">
        <f t="shared" si="10"/>
        <v>331.59000710106886</v>
      </c>
      <c r="S21" s="3">
        <f t="shared" si="2"/>
        <v>1</v>
      </c>
      <c r="T21" s="49">
        <f t="shared" si="3"/>
        <v>1.1367835613516068E-2</v>
      </c>
      <c r="U21" s="49"/>
      <c r="V21" s="3">
        <f t="shared" si="11"/>
        <v>-1.079649169085628E-2</v>
      </c>
      <c r="W21" s="3">
        <f t="shared" si="12"/>
        <v>0.79166666666666663</v>
      </c>
    </row>
    <row r="22" spans="10:23" x14ac:dyDescent="0.35">
      <c r="J22" s="44">
        <v>2040</v>
      </c>
      <c r="K22" s="2">
        <f t="shared" si="7"/>
        <v>335.29767335530778</v>
      </c>
      <c r="L22" s="3">
        <f t="shared" si="13"/>
        <v>1.1181477652638661E-2</v>
      </c>
      <c r="M22" s="45">
        <f t="shared" si="8"/>
        <v>14.240803334332172</v>
      </c>
      <c r="N22" s="4">
        <f t="shared" si="5"/>
        <v>3690.7424035432714</v>
      </c>
      <c r="O22" s="4">
        <f t="shared" si="9"/>
        <v>3059.3942061378807</v>
      </c>
      <c r="P22" s="3">
        <f t="shared" si="0"/>
        <v>0.1095961</v>
      </c>
      <c r="Q22" s="5">
        <f t="shared" si="1"/>
        <v>1.2063637945508148</v>
      </c>
      <c r="R22" s="2">
        <f t="shared" si="10"/>
        <v>335.29767335530778</v>
      </c>
      <c r="S22" s="3">
        <f t="shared" si="2"/>
        <v>1</v>
      </c>
      <c r="T22" s="49">
        <f t="shared" si="3"/>
        <v>1.1181477652638756E-2</v>
      </c>
      <c r="U22" s="49"/>
      <c r="V22" s="3">
        <f t="shared" si="11"/>
        <v>-0.10903117801757078</v>
      </c>
      <c r="W22" s="3">
        <f t="shared" si="12"/>
        <v>0.77272727272727271</v>
      </c>
    </row>
    <row r="23" spans="10:23" x14ac:dyDescent="0.35">
      <c r="J23">
        <v>2041</v>
      </c>
      <c r="K23" s="2">
        <f t="shared" si="7"/>
        <v>338.98431140621852</v>
      </c>
      <c r="L23" s="3">
        <f t="shared" si="13"/>
        <v>1.0995119691761479E-2</v>
      </c>
      <c r="M23" s="45">
        <f t="shared" si="8"/>
        <v>14.408377791191752</v>
      </c>
      <c r="N23" s="4">
        <f t="shared" si="5"/>
        <v>4029.7267149494901</v>
      </c>
      <c r="O23" s="4">
        <f t="shared" si="9"/>
        <v>3093.0326116186484</v>
      </c>
      <c r="P23" s="3">
        <f t="shared" si="0"/>
        <v>0.10959609999999999</v>
      </c>
      <c r="Q23" s="5">
        <f t="shared" si="1"/>
        <v>1.3028400346676752</v>
      </c>
      <c r="R23" s="2">
        <f t="shared" si="10"/>
        <v>338.98431140621852</v>
      </c>
      <c r="S23" s="3">
        <f t="shared" si="2"/>
        <v>1</v>
      </c>
      <c r="T23" s="49">
        <f t="shared" si="3"/>
        <v>1.0995119691761443E-2</v>
      </c>
      <c r="U23" s="49"/>
      <c r="V23" s="3">
        <f t="shared" si="11"/>
        <v>-0.20636379455081477</v>
      </c>
      <c r="W23" s="3">
        <f t="shared" si="12"/>
        <v>0.75</v>
      </c>
    </row>
    <row r="24" spans="10:23" x14ac:dyDescent="0.35">
      <c r="J24">
        <v>2042</v>
      </c>
      <c r="K24" s="2">
        <f t="shared" si="7"/>
        <v>342.64831205871616</v>
      </c>
      <c r="L24" s="3">
        <f t="shared" si="13"/>
        <v>1.0808761730884076E-2</v>
      </c>
      <c r="M24" s="45">
        <f t="shared" si="8"/>
        <v>14.574923275396189</v>
      </c>
      <c r="N24" s="4">
        <f t="shared" si="5"/>
        <v>4372.3750270082064</v>
      </c>
      <c r="O24" s="4">
        <f t="shared" si="9"/>
        <v>3126.4644641434884</v>
      </c>
      <c r="P24" s="3">
        <f t="shared" si="0"/>
        <v>0.1095961</v>
      </c>
      <c r="Q24" s="5">
        <f t="shared" si="1"/>
        <v>1.3985046294796259</v>
      </c>
      <c r="R24" s="2">
        <f t="shared" si="10"/>
        <v>342.64831205871616</v>
      </c>
      <c r="S24" s="3">
        <f t="shared" si="2"/>
        <v>1</v>
      </c>
      <c r="T24" s="49">
        <f t="shared" si="3"/>
        <v>1.0808761730884131E-2</v>
      </c>
      <c r="U24" s="49"/>
      <c r="V24" s="3">
        <f t="shared" si="11"/>
        <v>-0.30284003466767517</v>
      </c>
      <c r="W24" s="3">
        <f t="shared" si="12"/>
        <v>0.72222222222222221</v>
      </c>
    </row>
    <row r="25" spans="10:23" x14ac:dyDescent="0.35">
      <c r="J25">
        <v>2043</v>
      </c>
      <c r="K25" s="2">
        <f t="shared" si="7"/>
        <v>346.28806078051514</v>
      </c>
      <c r="L25" s="3">
        <f t="shared" si="13"/>
        <v>1.0622403770006894E-2</v>
      </c>
      <c r="M25" s="45">
        <f t="shared" si="8"/>
        <v>14.740366399114324</v>
      </c>
      <c r="N25" s="4">
        <f t="shared" si="5"/>
        <v>4718.6630877887219</v>
      </c>
      <c r="O25" s="4">
        <f t="shared" si="9"/>
        <v>3159.6750320541987</v>
      </c>
      <c r="P25" s="3">
        <f t="shared" si="0"/>
        <v>0.10959609999999999</v>
      </c>
      <c r="Q25" s="5">
        <f t="shared" si="1"/>
        <v>1.4934013909401875</v>
      </c>
      <c r="R25" s="2">
        <f t="shared" si="10"/>
        <v>346.28806078051514</v>
      </c>
      <c r="S25" s="3">
        <f t="shared" si="2"/>
        <v>1</v>
      </c>
      <c r="T25" s="49">
        <f t="shared" si="3"/>
        <v>1.0622403770006818E-2</v>
      </c>
      <c r="U25" s="49"/>
      <c r="V25" s="3">
        <f t="shared" si="11"/>
        <v>-0.39850462947962595</v>
      </c>
      <c r="W25" s="3">
        <f t="shared" si="12"/>
        <v>0.6875</v>
      </c>
    </row>
    <row r="26" spans="10:23" x14ac:dyDescent="0.35">
      <c r="J26">
        <v>2044</v>
      </c>
      <c r="K26" s="2">
        <f t="shared" si="7"/>
        <v>349.90193884597522</v>
      </c>
      <c r="L26" s="3">
        <f t="shared" si="13"/>
        <v>1.0436045809129491E-2</v>
      </c>
      <c r="M26" s="45">
        <f t="shared" si="8"/>
        <v>14.904633583907964</v>
      </c>
      <c r="N26" s="4">
        <f t="shared" si="5"/>
        <v>5068.5650266346975</v>
      </c>
      <c r="O26" s="4">
        <f t="shared" si="9"/>
        <v>3192.6495454306792</v>
      </c>
      <c r="P26" s="3">
        <f t="shared" si="0"/>
        <v>0.10959609999999999</v>
      </c>
      <c r="Q26" s="5">
        <f t="shared" si="1"/>
        <v>1.5875732536597476</v>
      </c>
      <c r="R26" s="2">
        <f t="shared" si="10"/>
        <v>349.90193884597522</v>
      </c>
      <c r="S26" s="3">
        <f t="shared" si="2"/>
        <v>1</v>
      </c>
      <c r="T26" s="49">
        <f t="shared" si="3"/>
        <v>1.0436045809129504E-2</v>
      </c>
      <c r="U26" s="49"/>
      <c r="V26" s="3">
        <f t="shared" si="11"/>
        <v>-0.49340139094018753</v>
      </c>
      <c r="W26" s="3">
        <f t="shared" si="12"/>
        <v>0.64285714285714279</v>
      </c>
    </row>
    <row r="27" spans="10:23" x14ac:dyDescent="0.35">
      <c r="J27">
        <v>2045</v>
      </c>
      <c r="K27" s="2">
        <f t="shared" si="7"/>
        <v>353.48832449664468</v>
      </c>
      <c r="L27" s="3">
        <f t="shared" si="13"/>
        <v>1.0249687848252087E-2</v>
      </c>
      <c r="M27" s="45">
        <f t="shared" si="8"/>
        <v>15.067651113483848</v>
      </c>
      <c r="N27" s="4">
        <f t="shared" si="5"/>
        <v>5422.0533511313424</v>
      </c>
      <c r="O27" s="4">
        <f t="shared" si="9"/>
        <v>3225.3732066802077</v>
      </c>
      <c r="P27" s="3">
        <f t="shared" si="0"/>
        <v>0.10959609999999999</v>
      </c>
      <c r="Q27" s="5">
        <f t="shared" si="1"/>
        <v>1.6810623154869324</v>
      </c>
      <c r="R27" s="2">
        <f t="shared" si="10"/>
        <v>353.48832449664468</v>
      </c>
      <c r="S27" s="3">
        <f t="shared" si="2"/>
        <v>1</v>
      </c>
      <c r="T27" s="49">
        <f t="shared" si="3"/>
        <v>1.0249687848252193E-2</v>
      </c>
      <c r="U27" s="49"/>
      <c r="V27" s="3">
        <f t="shared" si="11"/>
        <v>-0.58757325365974755</v>
      </c>
      <c r="W27" s="3">
        <f t="shared" si="12"/>
        <v>0.58333333333333326</v>
      </c>
    </row>
    <row r="28" spans="10:23" x14ac:dyDescent="0.35">
      <c r="J28">
        <v>2046</v>
      </c>
      <c r="K28" s="2">
        <f t="shared" si="7"/>
        <v>357.04559411738984</v>
      </c>
      <c r="L28" s="3">
        <f t="shared" si="13"/>
        <v>1.0063329887374906E-2</v>
      </c>
      <c r="M28" s="45">
        <f t="shared" si="8"/>
        <v>15.229345187154085</v>
      </c>
      <c r="N28" s="4">
        <f t="shared" si="5"/>
        <v>5779.098945248732</v>
      </c>
      <c r="O28" s="4">
        <f t="shared" si="9"/>
        <v>3257.8312012689307</v>
      </c>
      <c r="P28" s="3">
        <f t="shared" si="0"/>
        <v>0.10959609999999999</v>
      </c>
      <c r="Q28" s="5">
        <f t="shared" si="1"/>
        <v>1.7739098769137465</v>
      </c>
      <c r="R28" s="2">
        <f t="shared" si="10"/>
        <v>357.04559411738984</v>
      </c>
      <c r="S28" s="3">
        <f t="shared" si="2"/>
        <v>1</v>
      </c>
      <c r="T28" s="49">
        <f t="shared" si="3"/>
        <v>1.006332988737488E-2</v>
      </c>
      <c r="U28" s="49"/>
      <c r="V28" s="3">
        <f t="shared" si="11"/>
        <v>-0.68106231548693241</v>
      </c>
      <c r="W28" s="3">
        <f t="shared" si="12"/>
        <v>0.5</v>
      </c>
    </row>
    <row r="29" spans="10:23" x14ac:dyDescent="0.35">
      <c r="J29">
        <v>2047</v>
      </c>
      <c r="K29" s="2">
        <f t="shared" si="7"/>
        <v>360.57212342696693</v>
      </c>
      <c r="L29" s="3">
        <f t="shared" si="13"/>
        <v>9.876971926497502E-3</v>
      </c>
      <c r="M29" s="45">
        <f t="shared" si="8"/>
        <v>15.389641973953044</v>
      </c>
      <c r="N29" s="4">
        <f t="shared" si="5"/>
        <v>6139.6710686756987</v>
      </c>
      <c r="O29" s="4">
        <f t="shared" si="9"/>
        <v>3290.0087085851314</v>
      </c>
      <c r="P29" s="3">
        <f t="shared" si="0"/>
        <v>0.1095961</v>
      </c>
      <c r="Q29" s="5">
        <f t="shared" si="1"/>
        <v>1.8661564793596139</v>
      </c>
      <c r="R29" s="2">
        <f t="shared" si="10"/>
        <v>360.57212342696693</v>
      </c>
      <c r="S29" s="3">
        <f t="shared" si="2"/>
        <v>1</v>
      </c>
      <c r="T29" s="49">
        <f t="shared" si="3"/>
        <v>9.8769719264975679E-3</v>
      </c>
      <c r="U29" s="49"/>
      <c r="V29" s="3">
        <f t="shared" si="11"/>
        <v>-0.77390987691374646</v>
      </c>
      <c r="W29" s="3">
        <f t="shared" si="12"/>
        <v>0.375</v>
      </c>
    </row>
    <row r="30" spans="10:23" x14ac:dyDescent="0.35">
      <c r="J30">
        <v>2048</v>
      </c>
      <c r="K30" s="2">
        <f t="shared" si="7"/>
        <v>364.06628868186169</v>
      </c>
      <c r="L30" s="3">
        <f t="shared" si="13"/>
        <v>9.6906139656203205E-3</v>
      </c>
      <c r="M30" s="45">
        <f t="shared" si="8"/>
        <v>15.54846766735735</v>
      </c>
      <c r="N30" s="4">
        <f t="shared" si="5"/>
        <v>6503.7373573575605</v>
      </c>
      <c r="O30" s="4">
        <f t="shared" si="9"/>
        <v>3321.890912923559</v>
      </c>
      <c r="P30" s="3">
        <f t="shared" si="0"/>
        <v>0.10959610000000002</v>
      </c>
      <c r="Q30" s="5">
        <f t="shared" si="1"/>
        <v>1.9578419423874742</v>
      </c>
      <c r="R30" s="2">
        <f t="shared" si="10"/>
        <v>364.06628868186169</v>
      </c>
      <c r="S30" s="3">
        <f t="shared" si="2"/>
        <v>1</v>
      </c>
      <c r="T30" s="49">
        <f t="shared" si="3"/>
        <v>9.6906139656202546E-3</v>
      </c>
      <c r="U30" s="49"/>
      <c r="V30" s="3">
        <f t="shared" si="11"/>
        <v>-0.86615647935961393</v>
      </c>
      <c r="W30" s="3">
        <f t="shared" si="12"/>
        <v>0.16666666666666663</v>
      </c>
    </row>
    <row r="31" spans="10:23" x14ac:dyDescent="0.35">
      <c r="J31">
        <v>2049</v>
      </c>
      <c r="K31" s="2">
        <f t="shared" si="7"/>
        <v>367.52646789219074</v>
      </c>
      <c r="L31" s="3">
        <f t="shared" si="13"/>
        <v>9.504256004742917E-3</v>
      </c>
      <c r="M31" s="45">
        <f t="shared" si="8"/>
        <v>15.705748540554126</v>
      </c>
      <c r="N31" s="4">
        <f t="shared" si="5"/>
        <v>6871.2638252497509</v>
      </c>
      <c r="O31" s="4">
        <f t="shared" si="9"/>
        <v>3353.4630145798137</v>
      </c>
      <c r="P31" s="3">
        <f t="shared" si="0"/>
        <v>0.1095961</v>
      </c>
      <c r="Q31" s="5">
        <f t="shared" si="1"/>
        <v>2.0490053999032147</v>
      </c>
      <c r="R31" s="2">
        <f t="shared" si="10"/>
        <v>367.52646789219074</v>
      </c>
      <c r="S31" s="3">
        <f t="shared" si="2"/>
        <v>1</v>
      </c>
      <c r="T31" s="49">
        <f t="shared" si="3"/>
        <v>9.5042560047429413E-3</v>
      </c>
      <c r="U31" s="49"/>
      <c r="V31" s="3">
        <f t="shared" si="11"/>
        <v>-0.95784194238747422</v>
      </c>
      <c r="W31" s="3">
        <f t="shared" si="12"/>
        <v>-0.25</v>
      </c>
    </row>
    <row r="32" spans="10:23" x14ac:dyDescent="0.35">
      <c r="J32" s="44">
        <v>2050</v>
      </c>
      <c r="K32" s="2">
        <f t="shared" si="7"/>
        <v>370.95104204843227</v>
      </c>
      <c r="L32" s="3">
        <f t="shared" si="13"/>
        <v>9.3178980438657355E-3</v>
      </c>
      <c r="M32" s="45">
        <f t="shared" si="8"/>
        <v>15.861411002201468</v>
      </c>
      <c r="N32" s="4">
        <f t="shared" si="5"/>
        <v>7242.214867298183</v>
      </c>
      <c r="O32" s="4">
        <f t="shared" si="9"/>
        <v>3384.7102410435432</v>
      </c>
      <c r="P32" s="3">
        <f t="shared" si="0"/>
        <v>0.1095961</v>
      </c>
      <c r="Q32" s="5">
        <f t="shared" si="1"/>
        <v>2.1396853353879206</v>
      </c>
      <c r="R32" s="2">
        <f t="shared" si="10"/>
        <v>370.95104204843227</v>
      </c>
      <c r="S32" s="3">
        <f t="shared" si="2"/>
        <v>1</v>
      </c>
      <c r="T32" s="49">
        <f t="shared" si="3"/>
        <v>9.3178980438656297E-3</v>
      </c>
      <c r="U32" s="49"/>
      <c r="V32" s="3">
        <f t="shared" si="11"/>
        <v>-1.0490053999032147</v>
      </c>
      <c r="W32" s="3">
        <f t="shared" si="12"/>
        <v>-1.5</v>
      </c>
    </row>
    <row r="33" spans="11:19" x14ac:dyDescent="0.35">
      <c r="K33" s="2"/>
      <c r="L33" s="5"/>
      <c r="O33" s="4"/>
      <c r="P33" s="3"/>
      <c r="R33" s="2"/>
      <c r="S33" s="43"/>
    </row>
    <row r="34" spans="11:19" x14ac:dyDescent="0.35">
      <c r="K34" s="2"/>
      <c r="L34" s="5"/>
      <c r="O34" s="4"/>
      <c r="P34" s="3"/>
      <c r="R34" s="2"/>
      <c r="S34" s="43"/>
    </row>
    <row r="35" spans="11:19" x14ac:dyDescent="0.35">
      <c r="K35" s="2"/>
      <c r="L35" s="5"/>
      <c r="O35" s="4"/>
      <c r="P35" s="3"/>
      <c r="R35" s="2"/>
      <c r="S35" s="43"/>
    </row>
    <row r="36" spans="11:19" x14ac:dyDescent="0.35">
      <c r="K36" s="2"/>
      <c r="L36" s="5"/>
      <c r="O36" s="4"/>
      <c r="P36" s="3"/>
      <c r="R36" s="2"/>
      <c r="S36" s="43"/>
    </row>
    <row r="37" spans="11:19" x14ac:dyDescent="0.35">
      <c r="K37" s="2"/>
      <c r="L37" s="5"/>
      <c r="O37" s="4"/>
      <c r="P37" s="3"/>
      <c r="R37" s="2"/>
      <c r="S37" s="43"/>
    </row>
    <row r="38" spans="11:19" x14ac:dyDescent="0.35">
      <c r="K38" s="2"/>
      <c r="L38" s="5"/>
      <c r="O38" s="4"/>
      <c r="P38" s="3"/>
      <c r="R38" s="2"/>
      <c r="S38" s="43"/>
    </row>
    <row r="39" spans="11:19" x14ac:dyDescent="0.35">
      <c r="K39" s="2"/>
      <c r="L39" s="5"/>
      <c r="O39" s="4"/>
      <c r="P39" s="3"/>
      <c r="R39" s="2"/>
      <c r="S39" s="43"/>
    </row>
    <row r="40" spans="11:19" x14ac:dyDescent="0.35">
      <c r="K40" s="2"/>
      <c r="L40" s="5"/>
      <c r="O40" s="4"/>
      <c r="P40" s="3"/>
      <c r="R40" s="2"/>
      <c r="S40" s="43"/>
    </row>
  </sheetData>
  <hyperlinks>
    <hyperlink ref="A16" r:id="rId1" xr:uid="{D7AD158C-2D4D-4E69-BBDA-0B4E322891EC}"/>
  </hyperlinks>
  <pageMargins left="0.7" right="0.7" top="0.75" bottom="0.75" header="0.3" footer="0.3"/>
  <pageSetup orientation="portrait" horizontalDpi="360" verticalDpi="360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608ED-376F-4B83-824F-834E58405CA4}">
  <dimension ref="A1:G34"/>
  <sheetViews>
    <sheetView workbookViewId="0">
      <selection activeCell="H18" sqref="H18"/>
    </sheetView>
  </sheetViews>
  <sheetFormatPr defaultRowHeight="14.5" x14ac:dyDescent="0.35"/>
  <cols>
    <col min="2" max="7" width="10.6328125" customWidth="1"/>
  </cols>
  <sheetData>
    <row r="1" spans="1:7" x14ac:dyDescent="0.35">
      <c r="A1" s="54" t="s">
        <v>48</v>
      </c>
    </row>
    <row r="2" spans="1:7" s="31" customFormat="1" x14ac:dyDescent="0.35">
      <c r="A2" s="8" t="s">
        <v>0</v>
      </c>
      <c r="B2" s="8" t="s">
        <v>18</v>
      </c>
      <c r="C2" s="8" t="s">
        <v>28</v>
      </c>
      <c r="D2" s="8" t="s">
        <v>19</v>
      </c>
      <c r="E2" s="8" t="s">
        <v>29</v>
      </c>
      <c r="F2" s="8" t="s">
        <v>49</v>
      </c>
      <c r="G2" s="8" t="s">
        <v>50</v>
      </c>
    </row>
    <row r="3" spans="1:7" x14ac:dyDescent="0.35">
      <c r="A3" s="30">
        <v>2002</v>
      </c>
      <c r="B3" s="30">
        <v>5262727</v>
      </c>
      <c r="C3" s="30"/>
      <c r="D3" s="30">
        <v>1483599</v>
      </c>
      <c r="E3" s="30"/>
      <c r="F3" s="55">
        <v>3319038</v>
      </c>
      <c r="G3" s="30"/>
    </row>
    <row r="4" spans="1:7" x14ac:dyDescent="0.35">
      <c r="A4" s="30">
        <v>2003</v>
      </c>
      <c r="B4" s="30">
        <v>5180897</v>
      </c>
      <c r="C4" s="3">
        <f t="shared" ref="C4:C22" si="0">(B4/B3)-1</f>
        <v>-1.5548972994419041E-2</v>
      </c>
      <c r="D4" s="30">
        <v>1626365</v>
      </c>
      <c r="E4" s="3">
        <f t="shared" ref="E4:E22" si="1">(D4/D3)-1</f>
        <v>9.6229506760249883E-2</v>
      </c>
      <c r="F4" s="30">
        <v>3392297</v>
      </c>
      <c r="G4" s="3">
        <f t="shared" ref="G4:G22" si="2">(F4/F3)-1</f>
        <v>2.2072359521041918E-2</v>
      </c>
    </row>
    <row r="5" spans="1:7" x14ac:dyDescent="0.35">
      <c r="A5" s="30">
        <v>2004</v>
      </c>
      <c r="B5" s="30">
        <v>5514967</v>
      </c>
      <c r="C5" s="3">
        <f t="shared" si="0"/>
        <v>6.4481112054534107E-2</v>
      </c>
      <c r="D5" s="30">
        <v>1886100</v>
      </c>
      <c r="E5" s="3">
        <f t="shared" si="1"/>
        <v>0.15970277274781486</v>
      </c>
      <c r="F5" s="30">
        <v>3648739</v>
      </c>
      <c r="G5" s="3">
        <f t="shared" si="2"/>
        <v>7.5595385663460579E-2</v>
      </c>
    </row>
    <row r="6" spans="1:7" x14ac:dyDescent="0.35">
      <c r="A6" s="30">
        <v>2005</v>
      </c>
      <c r="B6" s="30">
        <v>6470976</v>
      </c>
      <c r="C6" s="3">
        <f t="shared" si="0"/>
        <v>0.17334809075013502</v>
      </c>
      <c r="D6" s="30">
        <v>2136525</v>
      </c>
      <c r="E6" s="3">
        <f t="shared" si="1"/>
        <v>0.1327739780499444</v>
      </c>
      <c r="F6" s="30">
        <v>3623703</v>
      </c>
      <c r="G6" s="3">
        <f t="shared" si="2"/>
        <v>-6.8615486062445497E-3</v>
      </c>
    </row>
    <row r="7" spans="1:7" x14ac:dyDescent="0.35">
      <c r="A7" s="30">
        <v>2006</v>
      </c>
      <c r="B7" s="30">
        <v>4950827</v>
      </c>
      <c r="C7" s="3">
        <f t="shared" si="0"/>
        <v>-0.23491804018435547</v>
      </c>
      <c r="D7" s="30">
        <v>2118469</v>
      </c>
      <c r="E7" s="3">
        <f t="shared" si="1"/>
        <v>-8.4511063526052643E-3</v>
      </c>
      <c r="F7" s="30">
        <v>3289334</v>
      </c>
      <c r="G7" s="3">
        <f t="shared" si="2"/>
        <v>-9.2272738687469658E-2</v>
      </c>
    </row>
    <row r="8" spans="1:7" x14ac:dyDescent="0.35">
      <c r="A8" s="30">
        <v>2007</v>
      </c>
      <c r="B8" s="30">
        <v>4507692</v>
      </c>
      <c r="C8" s="3">
        <f t="shared" si="0"/>
        <v>-8.9507268179639499E-2</v>
      </c>
      <c r="D8" s="30">
        <v>1898905</v>
      </c>
      <c r="E8" s="3">
        <f t="shared" si="1"/>
        <v>-0.1036427722095532</v>
      </c>
      <c r="F8" s="30">
        <v>2865658</v>
      </c>
      <c r="G8" s="3">
        <f t="shared" si="2"/>
        <v>-0.12880297348946623</v>
      </c>
    </row>
    <row r="9" spans="1:7" x14ac:dyDescent="0.35">
      <c r="A9" s="30">
        <v>2008</v>
      </c>
      <c r="B9" s="30">
        <v>3968044</v>
      </c>
      <c r="C9" s="3">
        <f t="shared" si="0"/>
        <v>-0.11971714127762056</v>
      </c>
      <c r="D9" s="30">
        <v>1865310</v>
      </c>
      <c r="E9" s="3">
        <f t="shared" si="1"/>
        <v>-1.7691774996642762E-2</v>
      </c>
      <c r="F9" s="30">
        <v>2338932</v>
      </c>
      <c r="G9" s="3">
        <f t="shared" si="2"/>
        <v>-0.18380630207791715</v>
      </c>
    </row>
    <row r="10" spans="1:7" x14ac:dyDescent="0.35">
      <c r="A10" s="30">
        <v>2009</v>
      </c>
      <c r="B10" s="30">
        <v>3515648</v>
      </c>
      <c r="C10" s="3">
        <f t="shared" si="0"/>
        <v>-0.11400982448783326</v>
      </c>
      <c r="D10" s="30">
        <v>1642064</v>
      </c>
      <c r="E10" s="3">
        <f t="shared" si="1"/>
        <v>-0.1196830553634517</v>
      </c>
      <c r="F10" s="30">
        <v>2230147</v>
      </c>
      <c r="G10" s="3">
        <f t="shared" si="2"/>
        <v>-4.6510544128687825E-2</v>
      </c>
    </row>
    <row r="11" spans="1:7" x14ac:dyDescent="0.35">
      <c r="A11" s="30">
        <v>2010</v>
      </c>
      <c r="B11" s="30">
        <v>3419290</v>
      </c>
      <c r="C11" s="3">
        <f t="shared" si="0"/>
        <v>-2.7408318466467629E-2</v>
      </c>
      <c r="D11" s="30">
        <v>1747920</v>
      </c>
      <c r="E11" s="3">
        <f t="shared" si="1"/>
        <v>6.446520963860114E-2</v>
      </c>
      <c r="F11" s="30">
        <v>2509724</v>
      </c>
      <c r="G11" s="3">
        <f t="shared" si="2"/>
        <v>0.12536258820606894</v>
      </c>
    </row>
    <row r="12" spans="1:7" x14ac:dyDescent="0.35">
      <c r="A12" s="30">
        <v>2011</v>
      </c>
      <c r="B12" s="30">
        <v>3744691</v>
      </c>
      <c r="C12" s="3">
        <f t="shared" si="0"/>
        <v>9.5166247963758499E-2</v>
      </c>
      <c r="D12" s="30">
        <v>1765002</v>
      </c>
      <c r="E12" s="3">
        <f t="shared" si="1"/>
        <v>9.7727584786488908E-3</v>
      </c>
      <c r="F12" s="30">
        <v>2264401</v>
      </c>
      <c r="G12" s="3">
        <f t="shared" si="2"/>
        <v>-9.774899550707572E-2</v>
      </c>
    </row>
    <row r="13" spans="1:7" x14ac:dyDescent="0.35">
      <c r="A13" s="30">
        <v>2012</v>
      </c>
      <c r="B13" s="30">
        <v>3915869</v>
      </c>
      <c r="C13" s="3">
        <f>(B13/B12)-1</f>
        <v>4.5712182927776901E-2</v>
      </c>
      <c r="D13" s="30">
        <v>1697796</v>
      </c>
      <c r="E13" s="3">
        <f>(D13/D12)-1</f>
        <v>-3.807701067760827E-2</v>
      </c>
      <c r="F13" s="30">
        <v>2279377</v>
      </c>
      <c r="G13" s="3">
        <f>(F13/F12)-1</f>
        <v>6.6136695753093999E-3</v>
      </c>
    </row>
    <row r="14" spans="1:7" x14ac:dyDescent="0.35">
      <c r="A14" s="30">
        <v>2013</v>
      </c>
      <c r="B14" s="30">
        <v>4201068</v>
      </c>
      <c r="C14" s="3">
        <f t="shared" si="0"/>
        <v>7.2831598809868225E-2</v>
      </c>
      <c r="D14" s="30">
        <v>1968632</v>
      </c>
      <c r="E14" s="3">
        <f t="shared" si="1"/>
        <v>0.15952210984122939</v>
      </c>
      <c r="F14" s="30">
        <v>2633904</v>
      </c>
      <c r="G14" s="3">
        <f t="shared" si="2"/>
        <v>0.15553679799348674</v>
      </c>
    </row>
    <row r="15" spans="1:7" x14ac:dyDescent="0.35">
      <c r="A15" s="30">
        <v>2014</v>
      </c>
      <c r="B15" s="30">
        <v>4499660</v>
      </c>
      <c r="C15" s="3">
        <f t="shared" si="0"/>
        <v>7.1075259910098998E-2</v>
      </c>
      <c r="D15" s="30">
        <v>2353990</v>
      </c>
      <c r="E15" s="3">
        <f t="shared" si="1"/>
        <v>0.19574912934464139</v>
      </c>
      <c r="F15" s="30">
        <v>2769438</v>
      </c>
      <c r="G15" s="3">
        <f t="shared" si="2"/>
        <v>5.1457456308202643E-2</v>
      </c>
    </row>
    <row r="16" spans="1:7" x14ac:dyDescent="0.35">
      <c r="A16" s="30">
        <v>2015</v>
      </c>
      <c r="B16" s="30">
        <v>4545876</v>
      </c>
      <c r="C16" s="3">
        <f t="shared" si="0"/>
        <v>1.0270998253201435E-2</v>
      </c>
      <c r="D16" s="30">
        <v>2269196</v>
      </c>
      <c r="E16" s="3">
        <f t="shared" si="1"/>
        <v>-3.602139346386346E-2</v>
      </c>
      <c r="F16" s="30">
        <v>2852384</v>
      </c>
      <c r="G16" s="3">
        <f t="shared" si="2"/>
        <v>2.9950480927899426E-2</v>
      </c>
    </row>
    <row r="17" spans="1:7" x14ac:dyDescent="0.35">
      <c r="A17" s="30">
        <v>2016</v>
      </c>
      <c r="B17" s="30">
        <v>4900992</v>
      </c>
      <c r="C17" s="3">
        <f t="shared" si="0"/>
        <v>7.8118276873368364E-2</v>
      </c>
      <c r="D17" s="30">
        <v>2429867</v>
      </c>
      <c r="E17" s="3">
        <f t="shared" si="1"/>
        <v>7.0805254372033E-2</v>
      </c>
      <c r="F17" s="30">
        <v>2980287</v>
      </c>
      <c r="G17" s="3">
        <f t="shared" si="2"/>
        <v>4.4840736731099229E-2</v>
      </c>
    </row>
    <row r="18" spans="1:7" x14ac:dyDescent="0.35">
      <c r="A18" s="30">
        <v>2017</v>
      </c>
      <c r="B18" s="30">
        <v>5185747</v>
      </c>
      <c r="C18" s="3">
        <f t="shared" si="0"/>
        <v>5.8101502716184861E-2</v>
      </c>
      <c r="D18" s="30">
        <v>2619782</v>
      </c>
      <c r="E18" s="3">
        <f t="shared" si="1"/>
        <v>7.8158598803967472E-2</v>
      </c>
      <c r="F18" s="30">
        <v>3171036</v>
      </c>
      <c r="G18" s="3">
        <f t="shared" si="2"/>
        <v>6.4003567441659248E-2</v>
      </c>
    </row>
    <row r="19" spans="1:7" x14ac:dyDescent="0.35">
      <c r="A19" s="30">
        <v>2018</v>
      </c>
      <c r="B19" s="30">
        <v>5395913</v>
      </c>
      <c r="C19" s="3">
        <f t="shared" si="0"/>
        <v>4.0527623117749378E-2</v>
      </c>
      <c r="D19" s="30">
        <v>2920080</v>
      </c>
      <c r="E19" s="3">
        <f t="shared" si="1"/>
        <v>0.11462709492621914</v>
      </c>
      <c r="F19" s="30">
        <v>3455000</v>
      </c>
      <c r="G19" s="3">
        <f t="shared" si="2"/>
        <v>8.9549282947276598E-2</v>
      </c>
    </row>
    <row r="20" spans="1:7" x14ac:dyDescent="0.35">
      <c r="A20" s="30">
        <v>2019</v>
      </c>
      <c r="B20" s="30">
        <v>5359775</v>
      </c>
      <c r="C20" s="3">
        <f t="shared" si="0"/>
        <v>-6.6972910793779983E-3</v>
      </c>
      <c r="D20" s="30">
        <v>3110888</v>
      </c>
      <c r="E20" s="3">
        <f t="shared" si="1"/>
        <v>6.5343415248897196E-2</v>
      </c>
      <c r="F20" s="30">
        <v>3494006</v>
      </c>
      <c r="G20" s="3">
        <f t="shared" si="2"/>
        <v>1.1289725036179421E-2</v>
      </c>
    </row>
    <row r="21" spans="1:7" x14ac:dyDescent="0.35">
      <c r="A21" s="30">
        <v>2020</v>
      </c>
      <c r="B21" s="30">
        <v>5910284</v>
      </c>
      <c r="C21" s="3">
        <f t="shared" si="0"/>
        <v>0.10271121455658117</v>
      </c>
      <c r="D21" s="30">
        <v>3418478</v>
      </c>
      <c r="E21" s="3">
        <f t="shared" si="1"/>
        <v>9.8875305057591234E-2</v>
      </c>
      <c r="F21" s="30">
        <v>3387681</v>
      </c>
      <c r="G21" s="3">
        <f t="shared" si="2"/>
        <v>-3.0430686152227548E-2</v>
      </c>
    </row>
    <row r="22" spans="1:7" x14ac:dyDescent="0.35">
      <c r="A22" s="30">
        <v>2021</v>
      </c>
      <c r="B22" s="30">
        <v>6282285</v>
      </c>
      <c r="C22" s="3">
        <f t="shared" si="0"/>
        <v>6.2941307050558004E-2</v>
      </c>
      <c r="D22" s="30">
        <v>3916766</v>
      </c>
      <c r="E22" s="3">
        <f t="shared" si="1"/>
        <v>0.14576311446205015</v>
      </c>
      <c r="F22" s="30">
        <v>4048442</v>
      </c>
      <c r="G22" s="3">
        <f t="shared" si="2"/>
        <v>0.19504817602365754</v>
      </c>
    </row>
    <row r="23" spans="1:7" s="31" customFormat="1" x14ac:dyDescent="0.35">
      <c r="A23" s="31" t="s">
        <v>51</v>
      </c>
      <c r="B23" s="8"/>
      <c r="C23" s="56">
        <f>(B22/B3)-1</f>
        <v>0.19373188082908355</v>
      </c>
      <c r="D23" s="8"/>
      <c r="E23" s="56">
        <f>(D22/D3)-1</f>
        <v>1.6400435697247033</v>
      </c>
      <c r="F23" s="8"/>
      <c r="G23" s="56">
        <f>(F22/F3)-1</f>
        <v>0.21976367851166523</v>
      </c>
    </row>
    <row r="24" spans="1:7" s="31" customFormat="1" x14ac:dyDescent="0.35">
      <c r="A24" s="31" t="s">
        <v>52</v>
      </c>
      <c r="B24" s="8"/>
      <c r="C24" s="56">
        <f>AVERAGE(C4:C22)</f>
        <v>1.4077818858636921E-2</v>
      </c>
      <c r="D24" s="8"/>
      <c r="E24" s="56">
        <f>AVERAGE(E4:E22)</f>
        <v>5.6222164982534927E-2</v>
      </c>
      <c r="F24" s="8"/>
      <c r="G24" s="56">
        <f>AVERAGE(G4:G22)</f>
        <v>1.4994023038223841E-2</v>
      </c>
    </row>
    <row r="25" spans="1:7" s="31" customFormat="1" x14ac:dyDescent="0.35">
      <c r="B25" s="8"/>
      <c r="C25" s="56"/>
      <c r="D25" s="8"/>
      <c r="E25" s="56"/>
      <c r="F25" s="8"/>
      <c r="G25" s="56"/>
    </row>
    <row r="26" spans="1:7" x14ac:dyDescent="0.35">
      <c r="A26" s="31" t="s">
        <v>30</v>
      </c>
      <c r="C26" s="29"/>
      <c r="E26" s="29"/>
      <c r="G26" s="29"/>
    </row>
    <row r="27" spans="1:7" x14ac:dyDescent="0.35">
      <c r="A27" t="s">
        <v>21</v>
      </c>
      <c r="B27">
        <v>431835</v>
      </c>
      <c r="C27" s="29"/>
      <c r="D27">
        <v>325443</v>
      </c>
      <c r="E27" s="29"/>
      <c r="F27">
        <f>306853+2791</f>
        <v>309644</v>
      </c>
      <c r="G27" s="29"/>
    </row>
    <row r="28" spans="1:7" x14ac:dyDescent="0.35">
      <c r="A28" t="s">
        <v>22</v>
      </c>
      <c r="B28">
        <v>856128</v>
      </c>
      <c r="C28" s="29"/>
      <c r="D28">
        <v>631962</v>
      </c>
      <c r="E28" s="29"/>
      <c r="F28">
        <f>602630+5739</f>
        <v>608369</v>
      </c>
      <c r="G28" s="29"/>
    </row>
    <row r="29" spans="1:7" x14ac:dyDescent="0.35">
      <c r="A29" t="s">
        <v>23</v>
      </c>
      <c r="C29" s="29"/>
      <c r="E29" s="29"/>
      <c r="G29" s="29"/>
    </row>
    <row r="30" spans="1:7" x14ac:dyDescent="0.35">
      <c r="C30" s="29"/>
      <c r="E30" s="29"/>
      <c r="G30" s="29"/>
    </row>
    <row r="32" spans="1:7" x14ac:dyDescent="0.35">
      <c r="A32" s="32" t="s">
        <v>24</v>
      </c>
    </row>
    <row r="33" spans="1:1" x14ac:dyDescent="0.35">
      <c r="A33" t="s">
        <v>20</v>
      </c>
    </row>
    <row r="34" spans="1:1" x14ac:dyDescent="0.35">
      <c r="A34" t="s">
        <v>25</v>
      </c>
    </row>
  </sheetData>
  <hyperlinks>
    <hyperlink ref="A32" r:id="rId1" xr:uid="{36C21B65-DED9-4F4B-B7CB-223555C989D1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Sheet1 (2)</vt:lpstr>
      <vt:lpstr>Sheet2</vt:lpstr>
    </vt:vector>
  </TitlesOfParts>
  <Company>Mitsubishi Electric Trane HVAC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LeMons</dc:creator>
  <cp:lastModifiedBy>Shawn LeMons</cp:lastModifiedBy>
  <dcterms:created xsi:type="dcterms:W3CDTF">2022-04-16T23:21:58Z</dcterms:created>
  <dcterms:modified xsi:type="dcterms:W3CDTF">2022-05-05T12:35:48Z</dcterms:modified>
</cp:coreProperties>
</file>